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3-2024\Расчет дотации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Q11" i="4"/>
  <c r="CT11" i="4" s="1"/>
  <c r="CQ10" i="4"/>
  <c r="CT10" i="4" s="1"/>
  <c r="CQ9" i="4"/>
  <c r="CT14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X17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<sst xmlns="http://schemas.openxmlformats.org/spreadsheetml/2006/main" count="1328" uniqueCount="204">
  <si>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</si>
  <si>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</si>
  <si>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</si>
  <si>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</si>
  <si>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</si>
  <si>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</si>
  <si>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</si>
  <si>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</si>
  <si>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</si>
  <si>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</si>
  <si>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</si>
  <si>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</si>
  <si>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</si>
  <si>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</si>
  <si>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</si>
  <si>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</si>
  <si>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</si>
  <si>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</si>
  <si>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</si>
  <si>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</si>
  <si>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</si>
  <si>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</si>
  <si>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</si>
  <si>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</si>
  <si>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</si>
  <si>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</si>
  <si>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</si>
  <si>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</si>
  <si>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</si>
  <si>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</si>
  <si>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</si>
  <si>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</si>
  <si>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</si>
  <si>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</si>
  <si>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</si>
  <si>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</si>
  <si>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</si>
  <si>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</si>
  <si>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</si>
  <si>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</si>
  <si>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</si>
  <si>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</si>
  <si>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</si>
  <si>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</si>
  <si>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</si>
  <si>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</si>
  <si>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</si>
  <si>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</si>
  <si>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</si>
  <si>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</si>
  <si>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</si>
  <si>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</si>
  <si>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</si>
  <si>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</si>
  <si>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</si>
  <si>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</si>
  <si>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</si>
  <si>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</si>
  <si>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</si>
  <si>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</si>
  <si>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</si>
  <si>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</si>
  <si>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</si>
  <si>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</si>
  <si>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</si>
  <si>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</si>
  <si>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</si>
  <si>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</si>
  <si>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</si>
  <si>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</si>
  <si>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</si>
  <si>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</si>
  <si>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</si>
  <si>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</si>
  <si>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</si>
  <si>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</si>
  <si>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</si>
  <si>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</si>
  <si>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</si>
  <si>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</si>
  <si>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</si>
  <si>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</si>
  <si>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</si>
  <si>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</si>
  <si>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</si>
  <si>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</si>
  <si>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</si>
  <si>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</si>
  <si>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</si>
  <si>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</si>
  <si>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</si>
  <si>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</si>
  <si>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</si>
  <si>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</si>
  <si>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</si>
  <si>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</si>
  <si>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</si>
  <si>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</si>
  <si>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</si>
  <si>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</si>
  <si>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</si>
  <si>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</si>
  <si>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</si>
  <si>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</si>
  <si>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</si>
  <si>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</si>
  <si>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</si>
  <si>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</si>
  <si>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</si>
  <si>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</si>
  <si>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</si>
  <si>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</si>
  <si>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</si>
  <si>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</si>
  <si>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</si>
  <si>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</si>
  <si>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</si>
  <si>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</si>
  <si>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</si>
  <si>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</si>
  <si>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</si>
  <si>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</si>
  <si>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</si>
  <si>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</si>
  <si>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</si>
  <si>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</si>
  <si>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</si>
  <si>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</si>
  <si>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</si>
  <si>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</si>
  <si>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</si>
  <si>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</si>
  <si>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</si>
  <si>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</si>
  <si>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</si>
  <si>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</si>
  <si>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</si>
  <si>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</si>
  <si>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</si>
  <si>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</si>
  <si>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</si>
  <si>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</si>
  <si>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</si>
  <si>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</si>
  <si>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</si>
  <si>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</si>
  <si>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</si>
  <si>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</si>
  <si>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</si>
  <si>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</si>
  <si>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</si>
  <si>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</si>
  <si>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</si>
  <si>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</si>
  <si>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</si>
  <si>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</si>
  <si>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</si>
  <si>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</si>
  <si>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</si>
  <si>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</si>
  <si>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</si>
  <si>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</si>
  <si>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</si>
  <si>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</si>
  <si>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</si>
  <si>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</si>
  <si>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</si>
  <si>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</si>
  <si>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</si>
  <si>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</si>
  <si>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</si>
  <si>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</si>
  <si>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</si>
  <si>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</si>
  <si>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</si>
  <si>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</si>
  <si>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</si>
  <si>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</si>
  <si>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</si>
  <si>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</si>
  <si>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</si>
  <si>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</si>
  <si>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</si>
  <si>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</si>
  <si>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</si>
  <si>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</si>
  <si>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</si>
  <si>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</si>
  <si>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</si>
  <si>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</si>
  <si>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</si>
  <si>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</si>
  <si>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</si>
  <si>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</si>
  <si>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</si>
  <si>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</si>
  <si>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</si>
  <si>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</si>
  <si>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</si>
  <si>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</si>
  <si>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01.01.2022</t>
  </si>
  <si>
    <t>2025 год</t>
  </si>
  <si>
    <t>Исходные данные, используемые в расчете размера дотации бюджетам поселений на выравнивание бюджетной обеспеченности на 2025 год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</si>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</sst>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3" fontId="32" fillId="0" borderId="46" xfId="0" applyNumberFormat="1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0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37" fillId="42" borderId="20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2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2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0" borderId="71" xfId="0" applyFont="1" applyFill="1" applyBorder="1" applyAlignment="1">
      <alignment horizontal="center" vertical="center" wrapText="1"/>
    </xf>
    <xf numFmtId="0" fontId="18" fillId="42" borderId="7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D20" sqref="D2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39" customHeight="1" x14ac:dyDescent="0.2">
      <c r="A2" s="192" t="s">
        <v>202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5"/>
      <c r="C3" s="185"/>
      <c r="D3" s="185"/>
      <c r="E3" s="185"/>
      <c r="F3" s="185"/>
      <c r="G3" s="185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4" t="s">
        <v>0</v>
      </c>
      <c r="B5" s="186" t="s">
        <v>7</v>
      </c>
      <c r="C5" s="189" t="s">
        <v>56</v>
      </c>
      <c r="D5" s="190"/>
      <c r="E5" s="191"/>
      <c r="F5" s="191"/>
      <c r="G5" s="191"/>
      <c r="H5" s="191"/>
    </row>
    <row r="6" spans="1:8" s="7" customFormat="1" ht="51.75" customHeight="1" x14ac:dyDescent="0.2">
      <c r="A6" s="195"/>
      <c r="B6" s="187"/>
      <c r="C6" s="96" t="s">
        <v>171</v>
      </c>
      <c r="D6" s="183" t="s">
        <v>62</v>
      </c>
      <c r="E6" s="193" t="s">
        <v>70</v>
      </c>
      <c r="F6" s="193"/>
      <c r="G6" s="193"/>
      <c r="H6" s="193"/>
    </row>
    <row r="7" spans="1:8" s="7" customFormat="1" ht="19.5" customHeight="1" x14ac:dyDescent="0.2">
      <c r="A7" s="195"/>
      <c r="B7" s="187"/>
      <c r="C7" s="97" t="s">
        <v>200</v>
      </c>
      <c r="D7" s="184" t="s">
        <v>201</v>
      </c>
      <c r="E7" s="193"/>
      <c r="F7" s="193"/>
      <c r="G7" s="193"/>
      <c r="H7" s="193"/>
    </row>
    <row r="8" spans="1:8" s="7" customFormat="1" ht="71.25" customHeight="1" thickBot="1" x14ac:dyDescent="0.25">
      <c r="A8" s="195"/>
      <c r="B8" s="188"/>
      <c r="C8" s="98" t="s">
        <v>1</v>
      </c>
      <c r="D8" s="98" t="s">
        <v>2</v>
      </c>
      <c r="E8" s="99" t="s">
        <v>187</v>
      </c>
      <c r="F8" s="100" t="s">
        <v>189</v>
      </c>
      <c r="G8" s="100" t="s">
        <v>197</v>
      </c>
      <c r="H8" s="100" t="s">
        <v>188</v>
      </c>
    </row>
    <row r="9" spans="1:8" s="8" customFormat="1" thickBot="1" x14ac:dyDescent="0.25">
      <c r="A9" s="196"/>
      <c r="B9" s="60" t="s">
        <v>3</v>
      </c>
      <c r="C9" s="58" t="s">
        <v>5</v>
      </c>
      <c r="D9" s="58" t="s">
        <v>4</v>
      </c>
      <c r="E9" s="95" t="s">
        <v>182</v>
      </c>
      <c r="F9" s="95" t="s">
        <v>186</v>
      </c>
      <c r="G9" s="95" t="s">
        <v>182</v>
      </c>
      <c r="H9" s="95" t="s">
        <v>183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6" t="s">
        <v>173</v>
      </c>
      <c r="C11" s="137">
        <v>1057</v>
      </c>
      <c r="D11" s="137">
        <v>1473590</v>
      </c>
      <c r="E11" s="141">
        <v>15</v>
      </c>
      <c r="F11" s="125">
        <v>3476</v>
      </c>
      <c r="G11" s="125">
        <v>8.1</v>
      </c>
      <c r="H11" s="18">
        <v>22742</v>
      </c>
    </row>
    <row r="12" spans="1:8" ht="31.5" x14ac:dyDescent="0.2">
      <c r="A12" s="42">
        <v>2</v>
      </c>
      <c r="B12" s="176" t="s">
        <v>174</v>
      </c>
      <c r="C12" s="138">
        <v>825</v>
      </c>
      <c r="D12" s="138">
        <v>783336</v>
      </c>
      <c r="E12" s="136">
        <v>29</v>
      </c>
      <c r="F12" s="18">
        <v>6042</v>
      </c>
      <c r="G12" s="18">
        <v>13.8</v>
      </c>
      <c r="H12" s="18">
        <v>14530</v>
      </c>
    </row>
    <row r="13" spans="1:8" ht="31.5" x14ac:dyDescent="0.2">
      <c r="A13" s="42">
        <v>3</v>
      </c>
      <c r="B13" s="176" t="s">
        <v>175</v>
      </c>
      <c r="C13" s="138">
        <v>1025</v>
      </c>
      <c r="D13" s="138">
        <v>1037363</v>
      </c>
      <c r="E13" s="136">
        <v>22</v>
      </c>
      <c r="F13" s="18">
        <v>5297</v>
      </c>
      <c r="G13" s="18">
        <v>10.199999999999999</v>
      </c>
      <c r="H13" s="18">
        <v>10983</v>
      </c>
    </row>
    <row r="14" spans="1:8" ht="31.5" x14ac:dyDescent="0.2">
      <c r="A14" s="42">
        <v>4</v>
      </c>
      <c r="B14" s="176" t="s">
        <v>176</v>
      </c>
      <c r="C14" s="138">
        <v>763</v>
      </c>
      <c r="D14" s="138">
        <v>766043</v>
      </c>
      <c r="E14" s="136">
        <v>30</v>
      </c>
      <c r="F14" s="18">
        <v>3234.6</v>
      </c>
      <c r="G14" s="18">
        <v>14.4</v>
      </c>
      <c r="H14" s="18">
        <v>13119</v>
      </c>
    </row>
    <row r="15" spans="1:8" ht="31.5" x14ac:dyDescent="0.2">
      <c r="A15" s="42">
        <v>5</v>
      </c>
      <c r="B15" s="176" t="s">
        <v>177</v>
      </c>
      <c r="C15" s="138">
        <v>1928</v>
      </c>
      <c r="D15" s="138">
        <v>841337</v>
      </c>
      <c r="E15" s="136">
        <v>29</v>
      </c>
      <c r="F15" s="18">
        <v>6246</v>
      </c>
      <c r="G15" s="18">
        <v>20</v>
      </c>
      <c r="H15" s="18">
        <v>21549</v>
      </c>
    </row>
    <row r="16" spans="1:8" ht="31.5" x14ac:dyDescent="0.2">
      <c r="A16" s="42">
        <v>6</v>
      </c>
      <c r="B16" s="176" t="s">
        <v>178</v>
      </c>
      <c r="C16" s="138">
        <v>2554</v>
      </c>
      <c r="D16" s="138">
        <v>2445193</v>
      </c>
      <c r="E16" s="136">
        <v>14</v>
      </c>
      <c r="F16" s="18">
        <v>11187.7</v>
      </c>
      <c r="G16" s="18">
        <v>22.52</v>
      </c>
      <c r="H16" s="18">
        <v>42248</v>
      </c>
    </row>
    <row r="17" spans="1:8" x14ac:dyDescent="0.2">
      <c r="A17" s="42">
        <v>7</v>
      </c>
      <c r="B17" s="176" t="s">
        <v>179</v>
      </c>
      <c r="C17" s="138">
        <v>6684</v>
      </c>
      <c r="D17" s="138">
        <v>7686083</v>
      </c>
      <c r="E17" s="136">
        <v>0</v>
      </c>
      <c r="F17" s="18">
        <v>418</v>
      </c>
      <c r="G17" s="18">
        <v>39</v>
      </c>
      <c r="H17" s="18">
        <v>15009</v>
      </c>
    </row>
    <row r="18" spans="1:8" ht="31.5" x14ac:dyDescent="0.2">
      <c r="A18" s="42">
        <v>8</v>
      </c>
      <c r="B18" s="176" t="s">
        <v>180</v>
      </c>
      <c r="C18" s="139">
        <v>1177</v>
      </c>
      <c r="D18" s="139">
        <v>928828</v>
      </c>
      <c r="E18" s="136">
        <v>56</v>
      </c>
      <c r="F18" s="18">
        <v>6429</v>
      </c>
      <c r="G18" s="18">
        <v>13.1</v>
      </c>
      <c r="H18" s="18">
        <v>28864</v>
      </c>
    </row>
    <row r="19" spans="1:8" ht="32.25" thickBot="1" x14ac:dyDescent="0.25">
      <c r="A19" s="42">
        <v>9</v>
      </c>
      <c r="B19" s="176" t="s">
        <v>181</v>
      </c>
      <c r="C19" s="140">
        <v>1078</v>
      </c>
      <c r="D19" s="140">
        <v>823373</v>
      </c>
      <c r="E19" s="136">
        <v>22</v>
      </c>
      <c r="F19" s="18">
        <v>6345</v>
      </c>
      <c r="G19" s="18">
        <v>14</v>
      </c>
      <c r="H19" s="18">
        <v>14821</v>
      </c>
    </row>
    <row r="20" spans="1:8" ht="16.5" thickBot="1" x14ac:dyDescent="0.25">
      <c r="A20" s="20"/>
      <c r="B20" s="21" t="s">
        <v>6</v>
      </c>
      <c r="C20" s="22">
        <f>SUM(C11:C19)</f>
        <v>17091</v>
      </c>
      <c r="D20" s="22">
        <f>SUM(D11:D19)</f>
        <v>16785146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C7" sqref="C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97" t="s">
        <v>63</v>
      </c>
      <c r="B2" s="197"/>
      <c r="C2" s="197"/>
      <c r="D2" s="197"/>
      <c r="E2" s="197"/>
      <c r="F2" s="197"/>
      <c r="G2" s="197"/>
    </row>
    <row r="3" spans="1:8" ht="16.5" thickBot="1" x14ac:dyDescent="0.25">
      <c r="B3" s="12"/>
    </row>
    <row r="4" spans="1:8" s="7" customFormat="1" ht="87.75" customHeight="1" thickBot="1" x14ac:dyDescent="0.25">
      <c r="A4" s="198" t="s">
        <v>0</v>
      </c>
      <c r="B4" s="198" t="s">
        <v>61</v>
      </c>
      <c r="C4" s="177" t="s">
        <v>184</v>
      </c>
      <c r="D4" s="178" t="s">
        <v>192</v>
      </c>
      <c r="E4" s="178" t="s">
        <v>185</v>
      </c>
      <c r="F4" s="92" t="s">
        <v>196</v>
      </c>
      <c r="G4" s="200" t="s">
        <v>191</v>
      </c>
    </row>
    <row r="5" spans="1:8" s="13" customFormat="1" ht="45.75" customHeight="1" thickBot="1" x14ac:dyDescent="0.25">
      <c r="A5" s="199"/>
      <c r="B5" s="199"/>
      <c r="C5" s="179" t="s">
        <v>194</v>
      </c>
      <c r="D5" s="180" t="s">
        <v>193</v>
      </c>
      <c r="E5" s="181" t="s">
        <v>195</v>
      </c>
      <c r="F5" s="182" t="s">
        <v>190</v>
      </c>
      <c r="G5" s="201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3">
        <f t="shared" si="0"/>
        <v>6</v>
      </c>
      <c r="G6" s="94">
        <f>F6+1</f>
        <v>7</v>
      </c>
    </row>
    <row r="7" spans="1:8" ht="16.5" thickBot="1" x14ac:dyDescent="0.3">
      <c r="A7" s="142">
        <v>1</v>
      </c>
      <c r="B7" s="176" t="s">
        <v>173</v>
      </c>
      <c r="C7" s="144">
        <f>1+('Исходные данные'!E11/MAX('Исходные данные'!$E$11:'Исходные данные'!$E$19))</f>
        <v>1.2678571428571428</v>
      </c>
      <c r="D7" s="144">
        <f>1+('Исходные данные'!F11/MAX('Исходные данные'!$F$11:'Исходные данные'!$F$19))</f>
        <v>1.3106983562305032</v>
      </c>
      <c r="E7" s="145">
        <f>1+('Исходные данные'!G11/MAX('Исходные данные'!$G$11:'Исходные данные'!$G$19))</f>
        <v>1.2076923076923076</v>
      </c>
      <c r="F7" s="145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1.7220536802562887</v>
      </c>
      <c r="G7" s="143">
        <f>C7+D7+E7+F7</f>
        <v>5.5083014870362419</v>
      </c>
      <c r="H7" s="19"/>
    </row>
    <row r="8" spans="1:8" s="15" customFormat="1" ht="16.5" thickBot="1" x14ac:dyDescent="0.3">
      <c r="A8" s="90">
        <v>2</v>
      </c>
      <c r="B8" s="176" t="s">
        <v>174</v>
      </c>
      <c r="C8" s="144">
        <f>1+('Исходные данные'!E12/MAX('Исходные данные'!$E$11:'Исходные данные'!$E$19))</f>
        <v>1.5178571428571428</v>
      </c>
      <c r="D8" s="144">
        <f>1+('Исходные данные'!F12/MAX('Исходные данные'!$F$11:'Исходные данные'!$F$19))</f>
        <v>1.5400573844489931</v>
      </c>
      <c r="E8" s="145">
        <f>1+('Исходные данные'!G12/MAX('Исходные данные'!$G$11:'Исходные данные'!$G$19))</f>
        <v>1.3538461538461539</v>
      </c>
      <c r="F8" s="145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1.7034052551234338</v>
      </c>
      <c r="G8" s="143">
        <f t="shared" ref="G8:G15" si="1">C8+D8+E8+F8</f>
        <v>6.1151659362757229</v>
      </c>
      <c r="H8" s="19"/>
    </row>
    <row r="9" spans="1:8" s="15" customFormat="1" ht="16.5" thickBot="1" x14ac:dyDescent="0.3">
      <c r="A9" s="91">
        <v>3</v>
      </c>
      <c r="B9" s="176" t="s">
        <v>175</v>
      </c>
      <c r="C9" s="144">
        <f>1+('Исходные данные'!E13/MAX('Исходные данные'!$E$11:'Исходные данные'!$E$19))</f>
        <v>1.3928571428571428</v>
      </c>
      <c r="D9" s="144">
        <f>1+('Исходные данные'!F13/MAX('Исходные данные'!$F$11:'Исходные данные'!$F$19))</f>
        <v>1.4734663961314658</v>
      </c>
      <c r="E9" s="145">
        <f>1+('Исходные данные'!G13/MAX('Исходные данные'!$G$11:'Исходные данные'!$G$19))</f>
        <v>1.2615384615384615</v>
      </c>
      <c r="F9" s="145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1.6372436656816227</v>
      </c>
      <c r="G9" s="143">
        <f t="shared" si="1"/>
        <v>5.7651056662086928</v>
      </c>
      <c r="H9" s="19"/>
    </row>
    <row r="10" spans="1:8" s="15" customFormat="1" ht="16.5" thickBot="1" x14ac:dyDescent="0.3">
      <c r="A10" s="90">
        <v>4</v>
      </c>
      <c r="B10" s="176" t="s">
        <v>176</v>
      </c>
      <c r="C10" s="144">
        <f>1+('Исходные данные'!E14/MAX('Исходные данные'!$E$11:'Исходные данные'!$E$19))</f>
        <v>1.5357142857142856</v>
      </c>
      <c r="D10" s="144">
        <f>1+('Исходные данные'!F14/MAX('Исходные данные'!$F$11:'Исходные данные'!$F$19))</f>
        <v>1.2891210883380855</v>
      </c>
      <c r="E10" s="145">
        <f>1+('Исходные данные'!G14/MAX('Исходные данные'!$G$11:'Исходные данные'!$G$19))</f>
        <v>1.3692307692307693</v>
      </c>
      <c r="F10" s="145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1.7009054921947726</v>
      </c>
      <c r="G10" s="143">
        <f t="shared" si="1"/>
        <v>5.8949716354779129</v>
      </c>
      <c r="H10" s="19"/>
    </row>
    <row r="11" spans="1:8" s="15" customFormat="1" ht="16.5" thickBot="1" x14ac:dyDescent="0.3">
      <c r="A11" s="91">
        <v>5</v>
      </c>
      <c r="B11" s="176" t="s">
        <v>177</v>
      </c>
      <c r="C11" s="144">
        <f>1+('Исходные данные'!E15/MAX('Исходные данные'!$E$11:'Исходные данные'!$E$19))</f>
        <v>1.5178571428571428</v>
      </c>
      <c r="D11" s="144">
        <f>1+('Исходные данные'!F15/MAX('Исходные данные'!$F$11:'Исходные данные'!$F$19))</f>
        <v>1.5582916953439938</v>
      </c>
      <c r="E11" s="145">
        <f>1+('Исходные данные'!G15/MAX('Исходные данные'!$G$11:'Исходные данные'!$G$19))</f>
        <v>1.5128205128205128</v>
      </c>
      <c r="F11" s="145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1.6442234142583125</v>
      </c>
      <c r="G11" s="143">
        <f t="shared" si="1"/>
        <v>6.2331927652799619</v>
      </c>
      <c r="H11" s="19"/>
    </row>
    <row r="12" spans="1:8" s="15" customFormat="1" ht="32.25" thickBot="1" x14ac:dyDescent="0.3">
      <c r="A12" s="90">
        <v>6</v>
      </c>
      <c r="B12" s="176" t="s">
        <v>178</v>
      </c>
      <c r="C12" s="144">
        <f>1+('Исходные данные'!E16/MAX('Исходные данные'!$E$11:'Исходные данные'!$E$19))</f>
        <v>1.25</v>
      </c>
      <c r="D12" s="144">
        <f>1+('Исходные данные'!F16/MAX('Исходные данные'!$F$11:'Исходные данные'!$F$19))</f>
        <v>2</v>
      </c>
      <c r="E12" s="145">
        <f>1+('Исходные данные'!G16/MAX('Исходные данные'!$G$11:'Исходные данные'!$G$19))</f>
        <v>1.5774358974358975</v>
      </c>
      <c r="F12" s="145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1.6967550787482188</v>
      </c>
      <c r="G12" s="143">
        <f t="shared" si="1"/>
        <v>6.5241909761841166</v>
      </c>
      <c r="H12" s="19"/>
    </row>
    <row r="13" spans="1:8" s="15" customFormat="1" ht="16.5" thickBot="1" x14ac:dyDescent="0.3">
      <c r="A13" s="91">
        <v>7</v>
      </c>
      <c r="B13" s="176" t="s">
        <v>179</v>
      </c>
      <c r="C13" s="144">
        <f>1+('Исходные данные'!E17/MAX('Исходные данные'!$E$11:'Исходные данные'!$E$19))</f>
        <v>1</v>
      </c>
      <c r="D13" s="144">
        <f>1+('Исходные данные'!F17/MAX('Исходные данные'!$F$11:'Исходные данные'!$F$19))</f>
        <v>1.0373624605593643</v>
      </c>
      <c r="E13" s="145">
        <f>1+('Исходные данные'!G17/MAX('Исходные данные'!$G$11:'Исходные данные'!$G$19))</f>
        <v>2</v>
      </c>
      <c r="F13" s="145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3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6" t="s">
        <v>180</v>
      </c>
      <c r="C14" s="144">
        <f>1+('Исходные данные'!E18/MAX('Исходные данные'!$E$11:'Исходные данные'!$E$19))</f>
        <v>2</v>
      </c>
      <c r="D14" s="144">
        <f>1+('Исходные данные'!F18/MAX('Исходные данные'!$F$11:'Исходные данные'!$F$19))</f>
        <v>1.5746489448233327</v>
      </c>
      <c r="E14" s="145">
        <f>1+('Исходные данные'!G18/MAX('Исходные данные'!$G$11:'Исходные данные'!$G$19))</f>
        <v>1.3358974358974358</v>
      </c>
      <c r="F14" s="145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1.7323732874214683</v>
      </c>
      <c r="G14" s="143">
        <f t="shared" si="1"/>
        <v>6.6429196681422376</v>
      </c>
      <c r="H14" s="19"/>
    </row>
    <row r="15" spans="1:8" s="15" customFormat="1" x14ac:dyDescent="0.25">
      <c r="A15" s="91">
        <v>9</v>
      </c>
      <c r="B15" s="176" t="s">
        <v>181</v>
      </c>
      <c r="C15" s="144">
        <f>1+('Исходные данные'!E19/MAX('Исходные данные'!$E$11:'Исходные данные'!$E$19))</f>
        <v>1.3928571428571428</v>
      </c>
      <c r="D15" s="144">
        <f>1+('Исходные данные'!F19/MAX('Исходные данные'!$F$11:'Исходные данные'!$F$19))</f>
        <v>1.5671406991606853</v>
      </c>
      <c r="E15" s="145">
        <f>1+('Исходные данные'!G19/MAX('Исходные данные'!$G$11:'Исходные данные'!$G$19))</f>
        <v>1.358974358974359</v>
      </c>
      <c r="F15" s="145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1.6745206480532295</v>
      </c>
      <c r="G15" s="143">
        <f t="shared" si="1"/>
        <v>5.9934928490454169</v>
      </c>
      <c r="H15" s="19"/>
    </row>
    <row r="17" spans="1:7" ht="116.25" customHeight="1" x14ac:dyDescent="0.2">
      <c r="A17" s="202" t="s">
        <v>80</v>
      </c>
      <c r="B17" s="202"/>
      <c r="C17" s="202"/>
      <c r="D17" s="202"/>
      <c r="E17" s="202"/>
      <c r="F17" s="202"/>
      <c r="G17" s="202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FQ1" zoomScale="60" zoomScaleNormal="60" workbookViewId="0">
      <pane xSplit="24225" topLeftCell="GQ1"/>
      <selection activeCell="F29" sqref="F29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4"/>
      <c r="B1" s="124" t="s">
        <v>203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4" s="5" customFormat="1" ht="16.5" thickBot="1" x14ac:dyDescent="0.25"/>
    <row r="3" spans="1:194" s="37" customFormat="1" ht="34.5" customHeight="1" thickBot="1" x14ac:dyDescent="0.25">
      <c r="A3" s="217" t="s">
        <v>7</v>
      </c>
      <c r="B3" s="220" t="s">
        <v>58</v>
      </c>
      <c r="C3" s="223" t="s">
        <v>9</v>
      </c>
      <c r="D3" s="224"/>
      <c r="E3" s="224"/>
      <c r="F3" s="225"/>
      <c r="G3" s="235" t="s">
        <v>59</v>
      </c>
      <c r="H3" s="236"/>
      <c r="I3" s="236"/>
      <c r="J3" s="237"/>
      <c r="K3" s="243" t="s">
        <v>77</v>
      </c>
      <c r="L3" s="71" t="s">
        <v>51</v>
      </c>
      <c r="M3" s="240" t="s">
        <v>74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2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206" t="s">
        <v>78</v>
      </c>
      <c r="GK3" s="214" t="s">
        <v>79</v>
      </c>
      <c r="GL3" s="209" t="s">
        <v>76</v>
      </c>
    </row>
    <row r="4" spans="1:194" s="27" customFormat="1" ht="29.25" customHeight="1" x14ac:dyDescent="0.2">
      <c r="A4" s="218"/>
      <c r="B4" s="221"/>
      <c r="C4" s="228" t="s">
        <v>10</v>
      </c>
      <c r="D4" s="229"/>
      <c r="E4" s="228" t="s">
        <v>11</v>
      </c>
      <c r="F4" s="229"/>
      <c r="G4" s="231" t="s">
        <v>172</v>
      </c>
      <c r="H4" s="212" t="s">
        <v>12</v>
      </c>
      <c r="I4" s="212" t="s">
        <v>64</v>
      </c>
      <c r="J4" s="238" t="s">
        <v>67</v>
      </c>
      <c r="K4" s="244"/>
      <c r="L4" s="233" t="s">
        <v>199</v>
      </c>
      <c r="M4" s="203" t="s">
        <v>13</v>
      </c>
      <c r="N4" s="204"/>
      <c r="O4" s="204"/>
      <c r="P4" s="204"/>
      <c r="Q4" s="230"/>
      <c r="R4" s="203" t="s">
        <v>14</v>
      </c>
      <c r="S4" s="204"/>
      <c r="T4" s="204"/>
      <c r="U4" s="204"/>
      <c r="V4" s="204"/>
      <c r="W4" s="230"/>
      <c r="X4" s="203" t="s">
        <v>15</v>
      </c>
      <c r="Y4" s="204"/>
      <c r="Z4" s="204"/>
      <c r="AA4" s="204"/>
      <c r="AB4" s="204"/>
      <c r="AC4" s="230"/>
      <c r="AD4" s="203" t="s">
        <v>16</v>
      </c>
      <c r="AE4" s="204"/>
      <c r="AF4" s="204"/>
      <c r="AG4" s="204"/>
      <c r="AH4" s="204"/>
      <c r="AI4" s="230"/>
      <c r="AJ4" s="203" t="s">
        <v>17</v>
      </c>
      <c r="AK4" s="204"/>
      <c r="AL4" s="204"/>
      <c r="AM4" s="204"/>
      <c r="AN4" s="204"/>
      <c r="AO4" s="230"/>
      <c r="AP4" s="203" t="s">
        <v>18</v>
      </c>
      <c r="AQ4" s="204"/>
      <c r="AR4" s="204"/>
      <c r="AS4" s="204"/>
      <c r="AT4" s="204"/>
      <c r="AU4" s="230"/>
      <c r="AV4" s="203" t="s">
        <v>19</v>
      </c>
      <c r="AW4" s="204"/>
      <c r="AX4" s="204"/>
      <c r="AY4" s="204"/>
      <c r="AZ4" s="204"/>
      <c r="BA4" s="230"/>
      <c r="BB4" s="203" t="s">
        <v>20</v>
      </c>
      <c r="BC4" s="204"/>
      <c r="BD4" s="204"/>
      <c r="BE4" s="204"/>
      <c r="BF4" s="204"/>
      <c r="BG4" s="230"/>
      <c r="BH4" s="203" t="s">
        <v>21</v>
      </c>
      <c r="BI4" s="204"/>
      <c r="BJ4" s="204"/>
      <c r="BK4" s="204"/>
      <c r="BL4" s="204"/>
      <c r="BM4" s="230"/>
      <c r="BN4" s="203" t="s">
        <v>22</v>
      </c>
      <c r="BO4" s="204"/>
      <c r="BP4" s="204"/>
      <c r="BQ4" s="204"/>
      <c r="BR4" s="204"/>
      <c r="BS4" s="205"/>
      <c r="BT4" s="203" t="s">
        <v>82</v>
      </c>
      <c r="BU4" s="204"/>
      <c r="BV4" s="204"/>
      <c r="BW4" s="204"/>
      <c r="BX4" s="204"/>
      <c r="BY4" s="205"/>
      <c r="BZ4" s="203" t="s">
        <v>85</v>
      </c>
      <c r="CA4" s="204"/>
      <c r="CB4" s="204"/>
      <c r="CC4" s="204"/>
      <c r="CD4" s="204"/>
      <c r="CE4" s="205"/>
      <c r="CF4" s="203" t="s">
        <v>86</v>
      </c>
      <c r="CG4" s="204"/>
      <c r="CH4" s="204"/>
      <c r="CI4" s="204"/>
      <c r="CJ4" s="204"/>
      <c r="CK4" s="205"/>
      <c r="CL4" s="203" t="s">
        <v>91</v>
      </c>
      <c r="CM4" s="204"/>
      <c r="CN4" s="204"/>
      <c r="CO4" s="204"/>
      <c r="CP4" s="204"/>
      <c r="CQ4" s="205"/>
      <c r="CR4" s="203" t="s">
        <v>94</v>
      </c>
      <c r="CS4" s="204"/>
      <c r="CT4" s="204"/>
      <c r="CU4" s="204"/>
      <c r="CV4" s="204"/>
      <c r="CW4" s="205"/>
      <c r="CX4" s="203" t="s">
        <v>97</v>
      </c>
      <c r="CY4" s="204"/>
      <c r="CZ4" s="204"/>
      <c r="DA4" s="204"/>
      <c r="DB4" s="204"/>
      <c r="DC4" s="205"/>
      <c r="DD4" s="203" t="s">
        <v>100</v>
      </c>
      <c r="DE4" s="204"/>
      <c r="DF4" s="204"/>
      <c r="DG4" s="204"/>
      <c r="DH4" s="204"/>
      <c r="DI4" s="205"/>
      <c r="DJ4" s="203" t="s">
        <v>103</v>
      </c>
      <c r="DK4" s="204"/>
      <c r="DL4" s="204"/>
      <c r="DM4" s="204"/>
      <c r="DN4" s="204"/>
      <c r="DO4" s="205"/>
      <c r="DP4" s="203" t="s">
        <v>106</v>
      </c>
      <c r="DQ4" s="204"/>
      <c r="DR4" s="204"/>
      <c r="DS4" s="204"/>
      <c r="DT4" s="204"/>
      <c r="DU4" s="205"/>
      <c r="DV4" s="203" t="s">
        <v>109</v>
      </c>
      <c r="DW4" s="204"/>
      <c r="DX4" s="204"/>
      <c r="DY4" s="204"/>
      <c r="DZ4" s="204"/>
      <c r="EA4" s="205"/>
      <c r="EB4" s="203" t="s">
        <v>131</v>
      </c>
      <c r="EC4" s="204"/>
      <c r="ED4" s="204"/>
      <c r="EE4" s="204"/>
      <c r="EF4" s="204"/>
      <c r="EG4" s="205"/>
      <c r="EH4" s="203" t="s">
        <v>135</v>
      </c>
      <c r="EI4" s="204"/>
      <c r="EJ4" s="204"/>
      <c r="EK4" s="204"/>
      <c r="EL4" s="204"/>
      <c r="EM4" s="205"/>
      <c r="EN4" s="203" t="s">
        <v>139</v>
      </c>
      <c r="EO4" s="204"/>
      <c r="EP4" s="204"/>
      <c r="EQ4" s="204"/>
      <c r="ER4" s="204"/>
      <c r="ES4" s="205"/>
      <c r="ET4" s="203" t="s">
        <v>143</v>
      </c>
      <c r="EU4" s="204"/>
      <c r="EV4" s="204"/>
      <c r="EW4" s="204"/>
      <c r="EX4" s="204"/>
      <c r="EY4" s="205"/>
      <c r="EZ4" s="203" t="s">
        <v>147</v>
      </c>
      <c r="FA4" s="204"/>
      <c r="FB4" s="204"/>
      <c r="FC4" s="204"/>
      <c r="FD4" s="204"/>
      <c r="FE4" s="205"/>
      <c r="FF4" s="203" t="s">
        <v>151</v>
      </c>
      <c r="FG4" s="204"/>
      <c r="FH4" s="204"/>
      <c r="FI4" s="204"/>
      <c r="FJ4" s="204"/>
      <c r="FK4" s="205"/>
      <c r="FL4" s="203" t="s">
        <v>155</v>
      </c>
      <c r="FM4" s="204"/>
      <c r="FN4" s="204"/>
      <c r="FO4" s="204"/>
      <c r="FP4" s="204"/>
      <c r="FQ4" s="205"/>
      <c r="FR4" s="203" t="s">
        <v>159</v>
      </c>
      <c r="FS4" s="204"/>
      <c r="FT4" s="204"/>
      <c r="FU4" s="204"/>
      <c r="FV4" s="204"/>
      <c r="FW4" s="205"/>
      <c r="FX4" s="203" t="s">
        <v>163</v>
      </c>
      <c r="FY4" s="204"/>
      <c r="FZ4" s="204"/>
      <c r="GA4" s="204"/>
      <c r="GB4" s="204"/>
      <c r="GC4" s="205"/>
      <c r="GD4" s="203" t="s">
        <v>166</v>
      </c>
      <c r="GE4" s="204"/>
      <c r="GF4" s="204"/>
      <c r="GG4" s="204"/>
      <c r="GH4" s="204"/>
      <c r="GI4" s="205"/>
      <c r="GJ4" s="207"/>
      <c r="GK4" s="215"/>
      <c r="GL4" s="210"/>
    </row>
    <row r="5" spans="1:194" s="27" customFormat="1" ht="246" customHeight="1" thickBot="1" x14ac:dyDescent="0.25">
      <c r="A5" s="218"/>
      <c r="B5" s="222"/>
      <c r="C5" s="226" t="s">
        <v>198</v>
      </c>
      <c r="D5" s="227"/>
      <c r="E5" s="226" t="s">
        <v>72</v>
      </c>
      <c r="F5" s="227"/>
      <c r="G5" s="232"/>
      <c r="H5" s="213"/>
      <c r="I5" s="213"/>
      <c r="J5" s="239"/>
      <c r="K5" s="245"/>
      <c r="L5" s="234"/>
      <c r="M5" s="68" t="s">
        <v>57</v>
      </c>
      <c r="N5" s="133" t="s">
        <v>121</v>
      </c>
      <c r="O5" s="69" t="s">
        <v>65</v>
      </c>
      <c r="P5" s="69" t="s">
        <v>75</v>
      </c>
      <c r="Q5" s="70" t="s">
        <v>23</v>
      </c>
      <c r="R5" s="68" t="s">
        <v>24</v>
      </c>
      <c r="S5" s="133" t="s">
        <v>122</v>
      </c>
      <c r="T5" s="69" t="s">
        <v>57</v>
      </c>
      <c r="U5" s="69" t="s">
        <v>65</v>
      </c>
      <c r="V5" s="69" t="s">
        <v>75</v>
      </c>
      <c r="W5" s="70" t="s">
        <v>25</v>
      </c>
      <c r="X5" s="68" t="s">
        <v>26</v>
      </c>
      <c r="Y5" s="133" t="s">
        <v>123</v>
      </c>
      <c r="Z5" s="69" t="s">
        <v>57</v>
      </c>
      <c r="AA5" s="69" t="s">
        <v>65</v>
      </c>
      <c r="AB5" s="69" t="s">
        <v>75</v>
      </c>
      <c r="AC5" s="70" t="s">
        <v>27</v>
      </c>
      <c r="AD5" s="68" t="s">
        <v>28</v>
      </c>
      <c r="AE5" s="133" t="s">
        <v>124</v>
      </c>
      <c r="AF5" s="69" t="s">
        <v>57</v>
      </c>
      <c r="AG5" s="69" t="s">
        <v>65</v>
      </c>
      <c r="AH5" s="69" t="s">
        <v>75</v>
      </c>
      <c r="AI5" s="70" t="s">
        <v>29</v>
      </c>
      <c r="AJ5" s="68" t="s">
        <v>30</v>
      </c>
      <c r="AK5" s="133" t="s">
        <v>125</v>
      </c>
      <c r="AL5" s="69" t="s">
        <v>57</v>
      </c>
      <c r="AM5" s="69" t="s">
        <v>65</v>
      </c>
      <c r="AN5" s="69" t="s">
        <v>75</v>
      </c>
      <c r="AO5" s="70" t="s">
        <v>31</v>
      </c>
      <c r="AP5" s="68" t="s">
        <v>32</v>
      </c>
      <c r="AQ5" s="133" t="s">
        <v>126</v>
      </c>
      <c r="AR5" s="69" t="s">
        <v>57</v>
      </c>
      <c r="AS5" s="69" t="s">
        <v>65</v>
      </c>
      <c r="AT5" s="69" t="s">
        <v>75</v>
      </c>
      <c r="AU5" s="70" t="s">
        <v>33</v>
      </c>
      <c r="AV5" s="68" t="s">
        <v>34</v>
      </c>
      <c r="AW5" s="133" t="s">
        <v>127</v>
      </c>
      <c r="AX5" s="69" t="s">
        <v>57</v>
      </c>
      <c r="AY5" s="69" t="s">
        <v>65</v>
      </c>
      <c r="AZ5" s="69" t="s">
        <v>75</v>
      </c>
      <c r="BA5" s="70" t="s">
        <v>35</v>
      </c>
      <c r="BB5" s="68" t="s">
        <v>36</v>
      </c>
      <c r="BC5" s="133" t="s">
        <v>128</v>
      </c>
      <c r="BD5" s="69" t="s">
        <v>57</v>
      </c>
      <c r="BE5" s="69" t="s">
        <v>65</v>
      </c>
      <c r="BF5" s="69" t="s">
        <v>75</v>
      </c>
      <c r="BG5" s="70" t="s">
        <v>37</v>
      </c>
      <c r="BH5" s="68" t="s">
        <v>38</v>
      </c>
      <c r="BI5" s="133" t="s">
        <v>129</v>
      </c>
      <c r="BJ5" s="69" t="s">
        <v>57</v>
      </c>
      <c r="BK5" s="69" t="s">
        <v>65</v>
      </c>
      <c r="BL5" s="69" t="s">
        <v>75</v>
      </c>
      <c r="BM5" s="70" t="s">
        <v>39</v>
      </c>
      <c r="BN5" s="68" t="s">
        <v>40</v>
      </c>
      <c r="BO5" s="133" t="s">
        <v>130</v>
      </c>
      <c r="BP5" s="69" t="s">
        <v>57</v>
      </c>
      <c r="BQ5" s="69" t="s">
        <v>65</v>
      </c>
      <c r="BR5" s="69" t="s">
        <v>75</v>
      </c>
      <c r="BS5" s="84" t="s">
        <v>41</v>
      </c>
      <c r="BT5" s="68" t="s">
        <v>83</v>
      </c>
      <c r="BU5" s="133" t="s">
        <v>112</v>
      </c>
      <c r="BV5" s="131" t="s">
        <v>57</v>
      </c>
      <c r="BW5" s="131" t="s">
        <v>65</v>
      </c>
      <c r="BX5" s="131" t="s">
        <v>75</v>
      </c>
      <c r="BY5" s="132" t="s">
        <v>84</v>
      </c>
      <c r="BZ5" s="68" t="s">
        <v>87</v>
      </c>
      <c r="CA5" s="133" t="s">
        <v>113</v>
      </c>
      <c r="CB5" s="131" t="s">
        <v>57</v>
      </c>
      <c r="CC5" s="131" t="s">
        <v>65</v>
      </c>
      <c r="CD5" s="131" t="s">
        <v>75</v>
      </c>
      <c r="CE5" s="132" t="s">
        <v>88</v>
      </c>
      <c r="CF5" s="68" t="s">
        <v>89</v>
      </c>
      <c r="CG5" s="133" t="s">
        <v>114</v>
      </c>
      <c r="CH5" s="131" t="s">
        <v>57</v>
      </c>
      <c r="CI5" s="131" t="s">
        <v>65</v>
      </c>
      <c r="CJ5" s="131" t="s">
        <v>75</v>
      </c>
      <c r="CK5" s="132" t="s">
        <v>90</v>
      </c>
      <c r="CL5" s="68" t="s">
        <v>92</v>
      </c>
      <c r="CM5" s="133" t="s">
        <v>115</v>
      </c>
      <c r="CN5" s="131" t="s">
        <v>57</v>
      </c>
      <c r="CO5" s="131" t="s">
        <v>65</v>
      </c>
      <c r="CP5" s="131" t="s">
        <v>75</v>
      </c>
      <c r="CQ5" s="132" t="s">
        <v>93</v>
      </c>
      <c r="CR5" s="68" t="s">
        <v>95</v>
      </c>
      <c r="CS5" s="133" t="s">
        <v>116</v>
      </c>
      <c r="CT5" s="131" t="s">
        <v>57</v>
      </c>
      <c r="CU5" s="131" t="s">
        <v>65</v>
      </c>
      <c r="CV5" s="131" t="s">
        <v>75</v>
      </c>
      <c r="CW5" s="132" t="s">
        <v>96</v>
      </c>
      <c r="CX5" s="68" t="s">
        <v>98</v>
      </c>
      <c r="CY5" s="133" t="s">
        <v>117</v>
      </c>
      <c r="CZ5" s="131" t="s">
        <v>57</v>
      </c>
      <c r="DA5" s="131" t="s">
        <v>65</v>
      </c>
      <c r="DB5" s="131" t="s">
        <v>75</v>
      </c>
      <c r="DC5" s="132" t="s">
        <v>99</v>
      </c>
      <c r="DD5" s="68" t="s">
        <v>101</v>
      </c>
      <c r="DE5" s="133" t="s">
        <v>118</v>
      </c>
      <c r="DF5" s="131" t="s">
        <v>57</v>
      </c>
      <c r="DG5" s="131" t="s">
        <v>65</v>
      </c>
      <c r="DH5" s="131" t="s">
        <v>75</v>
      </c>
      <c r="DI5" s="132" t="s">
        <v>102</v>
      </c>
      <c r="DJ5" s="68" t="s">
        <v>104</v>
      </c>
      <c r="DK5" s="131" t="s">
        <v>66</v>
      </c>
      <c r="DL5" s="131" t="s">
        <v>57</v>
      </c>
      <c r="DM5" s="131" t="s">
        <v>65</v>
      </c>
      <c r="DN5" s="131" t="s">
        <v>75</v>
      </c>
      <c r="DO5" s="132" t="s">
        <v>105</v>
      </c>
      <c r="DP5" s="68" t="s">
        <v>107</v>
      </c>
      <c r="DQ5" s="133" t="s">
        <v>119</v>
      </c>
      <c r="DR5" s="131" t="s">
        <v>57</v>
      </c>
      <c r="DS5" s="131" t="s">
        <v>65</v>
      </c>
      <c r="DT5" s="131" t="s">
        <v>75</v>
      </c>
      <c r="DU5" s="132" t="s">
        <v>108</v>
      </c>
      <c r="DV5" s="68" t="s">
        <v>111</v>
      </c>
      <c r="DW5" s="133" t="s">
        <v>120</v>
      </c>
      <c r="DX5" s="131" t="s">
        <v>57</v>
      </c>
      <c r="DY5" s="131" t="s">
        <v>65</v>
      </c>
      <c r="DZ5" s="131" t="s">
        <v>75</v>
      </c>
      <c r="EA5" s="132" t="s">
        <v>110</v>
      </c>
      <c r="EB5" s="68" t="s">
        <v>132</v>
      </c>
      <c r="EC5" s="134" t="s">
        <v>133</v>
      </c>
      <c r="ED5" s="134" t="s">
        <v>57</v>
      </c>
      <c r="EE5" s="134" t="s">
        <v>65</v>
      </c>
      <c r="EF5" s="134" t="s">
        <v>75</v>
      </c>
      <c r="EG5" s="135" t="s">
        <v>134</v>
      </c>
      <c r="EH5" s="68" t="s">
        <v>136</v>
      </c>
      <c r="EI5" s="134" t="s">
        <v>137</v>
      </c>
      <c r="EJ5" s="134" t="s">
        <v>57</v>
      </c>
      <c r="EK5" s="134" t="s">
        <v>65</v>
      </c>
      <c r="EL5" s="134" t="s">
        <v>75</v>
      </c>
      <c r="EM5" s="135" t="s">
        <v>138</v>
      </c>
      <c r="EN5" s="68" t="s">
        <v>140</v>
      </c>
      <c r="EO5" s="134" t="s">
        <v>141</v>
      </c>
      <c r="EP5" s="134" t="s">
        <v>57</v>
      </c>
      <c r="EQ5" s="134" t="s">
        <v>65</v>
      </c>
      <c r="ER5" s="134" t="s">
        <v>75</v>
      </c>
      <c r="ES5" s="135" t="s">
        <v>142</v>
      </c>
      <c r="ET5" s="68" t="s">
        <v>144</v>
      </c>
      <c r="EU5" s="134" t="s">
        <v>145</v>
      </c>
      <c r="EV5" s="134" t="s">
        <v>57</v>
      </c>
      <c r="EW5" s="134" t="s">
        <v>65</v>
      </c>
      <c r="EX5" s="134" t="s">
        <v>75</v>
      </c>
      <c r="EY5" s="135" t="s">
        <v>146</v>
      </c>
      <c r="EZ5" s="68" t="s">
        <v>148</v>
      </c>
      <c r="FA5" s="134" t="s">
        <v>149</v>
      </c>
      <c r="FB5" s="134" t="s">
        <v>57</v>
      </c>
      <c r="FC5" s="134" t="s">
        <v>65</v>
      </c>
      <c r="FD5" s="134" t="s">
        <v>75</v>
      </c>
      <c r="FE5" s="135" t="s">
        <v>150</v>
      </c>
      <c r="FF5" s="68" t="s">
        <v>152</v>
      </c>
      <c r="FG5" s="134" t="s">
        <v>153</v>
      </c>
      <c r="FH5" s="134" t="s">
        <v>57</v>
      </c>
      <c r="FI5" s="134" t="s">
        <v>65</v>
      </c>
      <c r="FJ5" s="134" t="s">
        <v>75</v>
      </c>
      <c r="FK5" s="135" t="s">
        <v>154</v>
      </c>
      <c r="FL5" s="68" t="s">
        <v>156</v>
      </c>
      <c r="FM5" s="134" t="s">
        <v>157</v>
      </c>
      <c r="FN5" s="134" t="s">
        <v>57</v>
      </c>
      <c r="FO5" s="134" t="s">
        <v>65</v>
      </c>
      <c r="FP5" s="134" t="s">
        <v>75</v>
      </c>
      <c r="FQ5" s="135" t="s">
        <v>158</v>
      </c>
      <c r="FR5" s="68" t="s">
        <v>160</v>
      </c>
      <c r="FS5" s="134" t="s">
        <v>161</v>
      </c>
      <c r="FT5" s="134" t="s">
        <v>57</v>
      </c>
      <c r="FU5" s="134" t="s">
        <v>65</v>
      </c>
      <c r="FV5" s="134" t="s">
        <v>75</v>
      </c>
      <c r="FW5" s="135" t="s">
        <v>162</v>
      </c>
      <c r="FX5" s="68" t="s">
        <v>164</v>
      </c>
      <c r="FY5" s="134" t="s">
        <v>168</v>
      </c>
      <c r="FZ5" s="134" t="s">
        <v>57</v>
      </c>
      <c r="GA5" s="134" t="s">
        <v>65</v>
      </c>
      <c r="GB5" s="134" t="s">
        <v>75</v>
      </c>
      <c r="GC5" s="135" t="s">
        <v>165</v>
      </c>
      <c r="GD5" s="68" t="s">
        <v>167</v>
      </c>
      <c r="GE5" s="134" t="s">
        <v>169</v>
      </c>
      <c r="GF5" s="134" t="s">
        <v>57</v>
      </c>
      <c r="GG5" s="134" t="s">
        <v>65</v>
      </c>
      <c r="GH5" s="134" t="s">
        <v>75</v>
      </c>
      <c r="GI5" s="135" t="s">
        <v>170</v>
      </c>
      <c r="GJ5" s="208"/>
      <c r="GK5" s="216"/>
      <c r="GL5" s="211"/>
    </row>
    <row r="6" spans="1:194" s="27" customFormat="1" ht="19.5" thickBot="1" x14ac:dyDescent="0.25">
      <c r="A6" s="219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81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81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81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81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81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81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81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81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81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81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81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81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81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81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81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81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81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81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81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81</v>
      </c>
      <c r="GH6" s="66" t="s">
        <v>53</v>
      </c>
      <c r="GI6" s="113" t="s">
        <v>52</v>
      </c>
      <c r="GJ6" s="162" t="s">
        <v>52</v>
      </c>
      <c r="GK6" s="160" t="s">
        <v>60</v>
      </c>
      <c r="GL6" s="85" t="s">
        <v>73</v>
      </c>
    </row>
    <row r="7" spans="1:194" s="28" customFormat="1" thickBot="1" x14ac:dyDescent="0.25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61">
        <f>GJ7+1</f>
        <v>193</v>
      </c>
      <c r="GL7" s="86">
        <f>GK7+1</f>
        <v>194</v>
      </c>
    </row>
    <row r="8" spans="1:194" s="29" customFormat="1" thickBot="1" x14ac:dyDescent="0.25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7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7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7" t="s">
        <v>4</v>
      </c>
      <c r="EM8" s="115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7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7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7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7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7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7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7" t="s">
        <v>4</v>
      </c>
      <c r="GI8" s="115" t="s">
        <v>4</v>
      </c>
      <c r="GJ8" s="164" t="s">
        <v>4</v>
      </c>
      <c r="GK8" s="163" t="s">
        <v>4</v>
      </c>
      <c r="GL8" s="87" t="s">
        <v>50</v>
      </c>
    </row>
    <row r="9" spans="1:194" s="26" customFormat="1" ht="31.5" x14ac:dyDescent="0.2">
      <c r="A9" s="176" t="s">
        <v>173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1057</v>
      </c>
      <c r="H9" s="51">
        <f>'Исходные данные'!D11</f>
        <v>1473590</v>
      </c>
      <c r="I9" s="52">
        <f>'Расчет КРП'!G7</f>
        <v>5.5083014870362419</v>
      </c>
      <c r="J9" s="116" t="s">
        <v>8</v>
      </c>
      <c r="K9" s="149">
        <f t="shared" ref="K9:K17" si="104">((H9/G9)/($H$18/$G$18))/I9</f>
        <v>0.25770706617478761</v>
      </c>
      <c r="L9" s="150">
        <f t="shared" ref="L9:L17" si="105">$D$18*G9/$G$18</f>
        <v>1132844.4471593234</v>
      </c>
      <c r="M9" s="153">
        <f t="shared" ref="M9:M17" si="106">(((H9+L9)/G9)/$J$18)/I9</f>
        <v>0.45582324429070076</v>
      </c>
      <c r="N9" s="154" t="s">
        <v>8</v>
      </c>
      <c r="O9" s="155">
        <f t="shared" ref="O9:O17" si="107">$N$18-M9</f>
        <v>-4.3007901605634391E-2</v>
      </c>
      <c r="P9" s="168">
        <f t="shared" ref="P9:P17" si="108">IF(O9&gt;0,G9*I9*(($H$18+$L$18)/$G$18)*O9,0)</f>
        <v>0</v>
      </c>
      <c r="Q9" s="156">
        <f t="shared" ref="Q9:Q17" si="109">IF(($F$18-P$18)&gt;0,P9,$F$18*P9/P$18)</f>
        <v>0</v>
      </c>
      <c r="R9" s="151" t="s">
        <v>8</v>
      </c>
      <c r="S9" s="50" t="s">
        <v>8</v>
      </c>
      <c r="T9" s="54">
        <f t="shared" ref="T9:T17" si="110">(((H9+L9+Q9)/G9)/$J$18)/I9</f>
        <v>0.45582324429070076</v>
      </c>
      <c r="U9" s="53">
        <f t="shared" ref="U9:U17" si="111">S$18-T9</f>
        <v>7.5578004419515343E-3</v>
      </c>
      <c r="V9" s="55">
        <f t="shared" ref="V9:V17" si="112">IF(U9&gt;0,$G9*$I9*(($H$18+$L$18+$Q$18)/$G$18)*U9,0)</f>
        <v>102167.42269525613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0.45582324429070076</v>
      </c>
      <c r="AA9" s="53">
        <f t="shared" ref="AA9:AA17" si="115">Y$18-Z9</f>
        <v>7.5578004419515343E-3</v>
      </c>
      <c r="AB9" s="55">
        <f t="shared" ref="AB9:AB17" si="116">IF(AA9&gt;0,$G9*$I9*(($H$18+$L$18+$Q$18+$W$18)/$G$18)*AA9,0)</f>
        <v>102167.42269525613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0.45582324429070076</v>
      </c>
      <c r="AG9" s="53">
        <f t="shared" ref="AG9:AG17" si="119">AE$18-AF9</f>
        <v>7.5578004419515343E-3</v>
      </c>
      <c r="AH9" s="55">
        <f t="shared" ref="AH9:AH17" si="120">IF(AG9&gt;0,$G9*$I9*(($H$18+$L$18+$Q$18+$W$18+$AC$18)/$G$18)*AG9,0)</f>
        <v>102167.42269525613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0.45582324429070076</v>
      </c>
      <c r="AM9" s="53">
        <f t="shared" ref="AM9:AM17" si="123">AK$18-AL9</f>
        <v>7.5578004419515343E-3</v>
      </c>
      <c r="AN9" s="55">
        <f t="shared" ref="AN9:AN17" si="124">IF(AM9&gt;0,$G9*$I9*(($H$18+$L$18+$Q$18+$W$18+$AC$18+$AI$18)/$G$18)*AM9,0)</f>
        <v>102167.42269525613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0.45582324429070076</v>
      </c>
      <c r="AS9" s="53">
        <f t="shared" ref="AS9:AS17" si="127">AQ$18-AR9</f>
        <v>7.5578004419515343E-3</v>
      </c>
      <c r="AT9" s="55">
        <f t="shared" ref="AT9:AT17" si="128">IF(AS9&gt;0,$G9*$I9*(($H$18+$L$18+$Q$18+$W$18+$AC$18+$AI$18+$AO$18)/$G$18)*AS9,0)</f>
        <v>102167.42269525613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0.45582324429070076</v>
      </c>
      <c r="AY9" s="53">
        <f t="shared" ref="AY9:AY17" si="131">AW$18-AX9</f>
        <v>7.5578004419515343E-3</v>
      </c>
      <c r="AZ9" s="55">
        <f t="shared" ref="AZ9:AZ17" si="132">IF(AY9&gt;0,$G9*$I9*(($H$18+$L$18+$Q$18+$W$18+$AC$18+$AI$18+$AO$18+$AU$18)/$G$18)*AY9,0)</f>
        <v>102167.42269525613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0.45582324429070076</v>
      </c>
      <c r="BE9" s="53">
        <f t="shared" ref="BE9:BE17" si="135">BC$18-BD9</f>
        <v>7.5578004419515343E-3</v>
      </c>
      <c r="BF9" s="55">
        <f t="shared" ref="BF9:BF17" si="136">IF(BE9&gt;0,$G9*$I9*(($H$18+$L$18+$Q$18+$W$18+$AC$18+$AI$18+$AO$18+$AU$18+$BA$18)/$G$18)*BE9,0)</f>
        <v>102167.42269525613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0.45582324429070076</v>
      </c>
      <c r="BK9" s="53">
        <f t="shared" ref="BK9:BK17" si="139">BI$18-BJ9</f>
        <v>7.5578004419515343E-3</v>
      </c>
      <c r="BL9" s="55">
        <f t="shared" ref="BL9:BL17" si="140">IF(BK9&gt;0,$G9*$I9*(($H$18+$L$18+$Q$18+$W$18+$AC$18+$AI$18+$AO$18+$AU$18+$BA$18+$BG$18)/$G$18)*BK9,0)</f>
        <v>102167.42269525613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0.45582324429070076</v>
      </c>
      <c r="BQ9" s="53">
        <f t="shared" ref="BQ9:BQ17" si="143">BO$18-BP9</f>
        <v>7.5578004419515343E-3</v>
      </c>
      <c r="BR9" s="55">
        <f t="shared" ref="BR9:BR17" si="144">IF(BQ9&gt;0,$G9*$I9*(($H$18+$L$18+$Q$18+$W$18+$AC$18+$AI$18+$AO$18+$AU$18+$BA$18+$BG$18+$BM$18)/$G$18)*BQ9,0)</f>
        <v>102167.42269525613</v>
      </c>
      <c r="BS9" s="128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0.45582324429070076</v>
      </c>
      <c r="BW9" s="53">
        <f t="shared" ref="BW9:BW17" si="147">BU$18-BV9</f>
        <v>7.5578004419515343E-3</v>
      </c>
      <c r="BX9" s="55">
        <f t="shared" ref="BX9:BX17" si="148">IF(BW9&gt;0,$G9*$I9*(($H$18+$L$18+$Q$18+$W$18+$AC$18+$AI$18+$AO$18+$AU$18+$BA$18+$BG$18+$BM$18+$BS$18)/$G$18)*BW9,0)</f>
        <v>102167.42269525613</v>
      </c>
      <c r="BY9" s="128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0.45582324429070076</v>
      </c>
      <c r="CC9" s="53">
        <f t="shared" ref="CC9:CC17" si="151">CA$18-CB9</f>
        <v>7.5578004419515343E-3</v>
      </c>
      <c r="CD9" s="55">
        <f t="shared" ref="CD9:CD17" si="152">IF(CC9&gt;0,$G9*$I9*(($H$18+$L$18+$Q$18+$W$18+$AC$18+$AI$18+$AO$18+$AU$18+$BA$18+$BG$18+$BM$18+$BS$18+$BY$18)/$G$18)*CC9,0)</f>
        <v>102167.42269525613</v>
      </c>
      <c r="CE9" s="128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0.45582324429070076</v>
      </c>
      <c r="CI9" s="53">
        <f t="shared" ref="CI9:CI17" si="155">CG$18-CH9</f>
        <v>7.5578004419515343E-3</v>
      </c>
      <c r="CJ9" s="55">
        <f t="shared" ref="CJ9:CJ17" si="156">IF(CI9&gt;0,$G9*$I9*(($H$18+$L$18+$Q$18+$W$18+$AC$18+$AI$18+$AO$18+$AU$18+$BA$18+$BG$18+$BM$18+$BS$18+$BY$18+$CE$18)/$G$18)*CI9,0)</f>
        <v>102167.42269525613</v>
      </c>
      <c r="CK9" s="128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0.45582324429070076</v>
      </c>
      <c r="CO9" s="53">
        <f t="shared" ref="CO9:CO17" si="159">CM$18-CN9</f>
        <v>7.5578004419515343E-3</v>
      </c>
      <c r="CP9" s="55">
        <f t="shared" ref="CP9:CP17" si="160">IF(CO9&gt;0,$G9*$I9*(($H$18+$L$18+$Q$18+$W$18+$AC$18+$AI$18+$AO$18+$AU$18+$BA$18+$BG$18+$BM$18+$BS$18+$BY$18+$CE$18+$CK$18)/$G$18)*CO9,0)</f>
        <v>102167.42269525613</v>
      </c>
      <c r="CQ9" s="128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0.45582324429070076</v>
      </c>
      <c r="CU9" s="53">
        <f t="shared" ref="CU9:CU17" si="163">CS$18-CT9</f>
        <v>7.5578004419515343E-3</v>
      </c>
      <c r="CV9" s="55">
        <f t="shared" ref="CV9:CV17" si="164">IF(CU9&gt;0,$G9*$I9*(($H$18+$L$18+$Q$18+$W$18+$AC$18+$AI$18+$AO$18+$AU$18+$BA$18+$BG$18+$BM$18+$BS$18+$BY$18+$CE$18+$CK$18+$CQ$18)/$G$18)*CU9,0)</f>
        <v>102167.42269525613</v>
      </c>
      <c r="CW9" s="128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0.45582324429070076</v>
      </c>
      <c r="DA9" s="53">
        <f t="shared" ref="DA9:DA17" si="167">CY$18-CZ9</f>
        <v>7.5578004419515343E-3</v>
      </c>
      <c r="DB9" s="55">
        <f t="shared" ref="DB9:DB17" si="168">IF(DA9&gt;0,$G9*$I9*(($H$18+$L$18+$Q$18+$W$18+$AC$18+$AI$18+$AO$18+$AU$18+$BA$18+$BG$18+$BM$18+$BS$18+$BY$18+$CE$18+$CK$18+$CQ$18+$CW$18)/$G$18)*DA9,0)</f>
        <v>102167.42269525613</v>
      </c>
      <c r="DC9" s="128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0.45582324429070076</v>
      </c>
      <c r="DG9" s="53">
        <f t="shared" ref="DG9:DG17" si="171">DE$18-DF9</f>
        <v>7.5578004419515343E-3</v>
      </c>
      <c r="DH9" s="55">
        <f t="shared" ref="DH9:DH17" si="172">IF(DG9&gt;0,$G9*$I9*(($H$18+$L$18+$Q$18+$W$18+$AC$18+$AI$18+$AO$18+$AU$18+$BA$18+$BG$18+$BM$18+$BS$18+$BY$18+$CE$18+$CK$18+$CQ$18+$CW$18+$DC$18)/$G$18)*DG9,0)</f>
        <v>102167.42269525613</v>
      </c>
      <c r="DI9" s="128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0.45582324429070076</v>
      </c>
      <c r="DM9" s="53">
        <f t="shared" ref="DM9:DM17" si="175">DK$18-DL9</f>
        <v>7.5578004419515343E-3</v>
      </c>
      <c r="DN9" s="55">
        <f t="shared" ref="DN9:DN17" si="176">IF(DM9&gt;0,$G9*$I9*(($H$18+$L$18+$Q$18+$W$18+$AC$18+$AI$18+$AO$18+$AU$18+$BA$18+$BG$18+$BM$18+$BS$18+$BY$18+$CE$18+$CK$18+$CQ$18+$CW$18+$DC$18+$DI$18)/$G$18)*DM9,0)</f>
        <v>102167.42269525613</v>
      </c>
      <c r="DO9" s="128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0.45582324429070076</v>
      </c>
      <c r="DS9" s="53">
        <f t="shared" ref="DS9:DS17" si="179">DQ$18-DR9</f>
        <v>7.5578004419515343E-3</v>
      </c>
      <c r="DT9" s="55">
        <f t="shared" ref="DT9:DT17" si="180">IF(DS9&gt;0,$G9*$I9*(($H$18+$L$18+$Q$18+$W$18+$AC$18+$AI$18+$AO$18+$AU$18+$BA$18+$BG$18+$BM$18+$BS$18+$BY$18+$CE$18+$CK$18+$CQ$18+$CW$18+$DC$18+$DI$18+$DO$18)/$G$18)*DS9,0)</f>
        <v>102167.42269525613</v>
      </c>
      <c r="DU9" s="128">
        <f t="shared" ref="DU9:DU17" si="181">IF((DP$18-DT$18)&gt;0,DT9,DP$18*DT9/DT$18)</f>
        <v>0</v>
      </c>
      <c r="DV9" s="165" t="s">
        <v>8</v>
      </c>
      <c r="DW9" s="154" t="s">
        <v>8</v>
      </c>
      <c r="DX9" s="169">
        <f t="shared" ref="DX9:DX17" si="182">((($H9+$L9+$Q9+$W9+$AC9+$AI9+$AO9+$AU9+$BA9+$BG9+$BM9+$BS9+$BY9+$CE9+$CK9+$CQ9+$CW9+$DC9+$DI9+$DO9+$DU9)/$G9)/$J$18)/$I9</f>
        <v>0.45582324429070076</v>
      </c>
      <c r="DY9" s="155">
        <f t="shared" ref="DY9:DY17" si="183">DW$18-DX9</f>
        <v>7.5578004419515343E-3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102167.42269525613</v>
      </c>
      <c r="EA9" s="156">
        <f t="shared" ref="EA9:EA17" si="185">IF((DV$18-DZ$18)&gt;0,DZ9,DV$18*DZ9/DZ$18)</f>
        <v>0</v>
      </c>
      <c r="EB9" s="165" t="s">
        <v>8</v>
      </c>
      <c r="EC9" s="154" t="s">
        <v>8</v>
      </c>
      <c r="ED9" s="169">
        <f t="shared" ref="ED9:ED17" si="186">((($H9+$L9+$Q9+$W9+$AC9+$AI9+$AO9+$AU9+$BA9+$BG9+$BM9+$BS9+$BY9+$CE9+$CK9+$CQ9+$CW9+$DC9+$DI9+$DO9+$DU9+$EA9)/$G9)/$J$18)/$I9</f>
        <v>0.45582324429070076</v>
      </c>
      <c r="EE9" s="155">
        <f t="shared" ref="EE9:EE17" si="187">EC$18-ED9</f>
        <v>7.5578004419515343E-3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102167.42269525613</v>
      </c>
      <c r="EG9" s="156">
        <f t="shared" ref="EG9:EG17" si="189">IF((EB$18-EF$18)&gt;0,EF9,EB$18*EF9/EF$18)</f>
        <v>0</v>
      </c>
      <c r="EH9" s="165" t="s">
        <v>8</v>
      </c>
      <c r="EI9" s="154" t="s">
        <v>8</v>
      </c>
      <c r="EJ9" s="169">
        <f t="shared" ref="EJ9:EJ17" si="190">((($H9+$L9+$Q9+$W9+$AC9+$AI9+$AO9+$AU9+$BA9+$BG9+$BM9+$BS9+$BY9+$CE9+$CK9+$CQ9+$CW9+$DC9+$DI9+$DO9+$DU9+$EA9+$EG9)/$G9)/$J$18)/$I9</f>
        <v>0.45582324429070076</v>
      </c>
      <c r="EK9" s="155">
        <f t="shared" ref="EK9:EK17" si="191">EI$18-EJ9</f>
        <v>7.5578004419515343E-3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102167.42269525613</v>
      </c>
      <c r="EM9" s="156">
        <f t="shared" ref="EM9:EM17" si="193">IF((EH$18-EL$18)&gt;0,EL9,EH$18*EL9/EL$18)</f>
        <v>0</v>
      </c>
      <c r="EN9" s="77" t="s">
        <v>8</v>
      </c>
      <c r="EO9" s="50" t="s">
        <v>8</v>
      </c>
      <c r="EP9" s="170">
        <f t="shared" ref="EP9:EP17" si="194">((($H9+$L9+$Q9+$W9+$AC9+$AI9+$AO9+$AU9+$BA9+$BG9+$BM9+$BS9+$BY9+$CE9+$CK9+$CQ9+$CW9+$DC9+$DI9+$DO9+$DU9+$EA9+$EG9+$EM9)/$G9)/$J$18)/$I9</f>
        <v>0.45582324429070076</v>
      </c>
      <c r="EQ9" s="53">
        <f t="shared" ref="EQ9:EQ17" si="195">EO$18-EP9</f>
        <v>7.5578004419515343E-3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102167.42269525613</v>
      </c>
      <c r="ES9" s="81">
        <f t="shared" ref="ES9:ES17" si="197">IF((EN$18-ER$18)&gt;0,ER9,EN$18*ER9/ER$18)</f>
        <v>0</v>
      </c>
      <c r="ET9" s="165" t="s">
        <v>8</v>
      </c>
      <c r="EU9" s="154" t="s">
        <v>8</v>
      </c>
      <c r="EV9" s="169">
        <f t="shared" ref="EV9:EV17" si="198">((($H9+$L9+$Q9+$W9+$AC9+$AI9+$AO9+$AU9+$BA9+$BG9+$BM9+$BS9+$BY9+$CE9+$CK9+$CQ9+$CW9+$DC9+$DI9+$DO9+$DU9+$EA9+$EG9+$EM9+$ES9)/$G9)/$J$18)/$I9</f>
        <v>0.45582324429070076</v>
      </c>
      <c r="EW9" s="155">
        <f t="shared" ref="EW9:EW17" si="199">EU$18-EV9</f>
        <v>7.5578004419515343E-3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102167.42269525613</v>
      </c>
      <c r="EY9" s="156">
        <f t="shared" ref="EY9:EY17" si="201">IF((ET$18-EX$18)&gt;0,EX9,ET$18*EX9/EX$18)</f>
        <v>0</v>
      </c>
      <c r="EZ9" s="165" t="s">
        <v>8</v>
      </c>
      <c r="FA9" s="154" t="s">
        <v>8</v>
      </c>
      <c r="FB9" s="169">
        <f t="shared" ref="FB9:FB17" si="202">((($H9+$L9+$Q9+$W9+$AC9+$AI9+$AO9+$AU9+$BA9+$BG9+$BM9+$BS9+$BY9+$CE9+$CK9+$CQ9+$CW9+$DC9+$DI9+$DO9+$DU9+$EA9+$EG9+$EM9+$ES9+$EY9)/$G9)/$J$18)/$I9</f>
        <v>0.45582324429070076</v>
      </c>
      <c r="FC9" s="155">
        <f t="shared" ref="FC9:FC17" si="203">FA$18-FB9</f>
        <v>7.5578004419515343E-3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102167.42269525613</v>
      </c>
      <c r="FE9" s="156">
        <f t="shared" ref="FE9:FE17" si="205">IF((EZ$18-FD$18)&gt;0,FD9,EZ$18*FD9/FD$18)</f>
        <v>0</v>
      </c>
      <c r="FF9" s="165" t="s">
        <v>8</v>
      </c>
      <c r="FG9" s="154" t="s">
        <v>8</v>
      </c>
      <c r="FH9" s="169">
        <f t="shared" ref="FH9:FH17" si="206">((($H9+$L9+$Q9+$W9+$AC9+$AI9+$AO9+$AU9+$BA9+$BG9+$BM9+$BS9+$BY9+$CE9+$CK9+$CQ9+$CW9+$DC9+$DI9+$DO9+$DU9+$EA9+$EG9+$EM9+$ES9+$EY9+$FE9)/$G9)/$J$18)/$I9</f>
        <v>0.45582324429070076</v>
      </c>
      <c r="FI9" s="155">
        <f t="shared" ref="FI9:FI17" si="207">FG$18-FH9</f>
        <v>7.5578004419515343E-3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102167.42269525613</v>
      </c>
      <c r="FK9" s="156">
        <f t="shared" ref="FK9:FK17" si="209">IF((FF$18-FJ$18)&gt;0,FJ9,FF$18*FJ9/FJ$18)</f>
        <v>0</v>
      </c>
      <c r="FL9" s="165" t="s">
        <v>8</v>
      </c>
      <c r="FM9" s="154" t="s">
        <v>8</v>
      </c>
      <c r="FN9" s="169">
        <f t="shared" ref="FN9:FN17" si="210">((($H9+$L9+$Q9+$W9+$AC9+$AI9+$AO9+$AU9+$BA9+$BG9+$BM9+$BS9+$BY9+$CE9+$CK9+$CQ9+$CW9+$DC9+$DI9+$DO9+$DU9+$EA9+$EG9+$EM9+$ES9+$EY9+$FE9+$FK9)/$G9)/$J$18)/$I9</f>
        <v>0.45582324429070076</v>
      </c>
      <c r="FO9" s="155">
        <f t="shared" ref="FO9:FO17" si="211">FM$18-FN9</f>
        <v>7.5578004419515343E-3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102167.42269525613</v>
      </c>
      <c r="FQ9" s="156">
        <f t="shared" ref="FQ9:FQ17" si="213">IF((FL$18-FP$18)&gt;0,FP9,FL$18*FP9/FP$18)</f>
        <v>0</v>
      </c>
      <c r="FR9" s="165" t="s">
        <v>8</v>
      </c>
      <c r="FS9" s="154" t="s">
        <v>8</v>
      </c>
      <c r="FT9" s="169">
        <f t="shared" ref="FT9:FT17" si="214">((($H9+$L9+$Q9+$W9+$AC9+$AI9+$AO9+$AU9+$BA9+$BG9+$BM9+$BS9+$BY9+$CE9+$CK9+$CQ9+$CW9+$DC9+$DI9+$DO9+$DU9+$EA9+$EG9+$EM9+$ES9+$EY9+$FE9+$FK9+$FQ9)/$G9)/$J$18)/$I9</f>
        <v>0.45582324429070076</v>
      </c>
      <c r="FU9" s="155">
        <f t="shared" ref="FU9:FU17" si="215">FS$18-FT9</f>
        <v>7.5578004419515343E-3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102167.42269525613</v>
      </c>
      <c r="FW9" s="156">
        <f t="shared" ref="FW9:FW17" si="217">IF((FR$18-FV$18)&gt;0,FV9,FR$18*FV9/FV$18)</f>
        <v>0</v>
      </c>
      <c r="FX9" s="165" t="s">
        <v>8</v>
      </c>
      <c r="FY9" s="154" t="s">
        <v>8</v>
      </c>
      <c r="FZ9" s="169">
        <f t="shared" ref="FZ9:FZ17" si="218">((($H9+$L9+$Q9+$W9+$AC9+$AI9+$AO9+$AU9+$BA9+$BG9+$BM9+$BS9+$BY9+$CE9+$CK9+$CQ9+$CW9+$DC9+$DI9+$DO9+$DU9+$EA9+$EG9+$EM9+$ES9+$EY9+$FE9+$FK9+$FQ9+$FW9)/$G9)/$J$18)/$I9</f>
        <v>0.45582324429070076</v>
      </c>
      <c r="GA9" s="155">
        <f t="shared" ref="GA9:GA17" si="219">FY$18-FZ9</f>
        <v>7.5578004419515343E-3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102167.42269525613</v>
      </c>
      <c r="GC9" s="156">
        <f t="shared" ref="GC9:GC17" si="221">IF((FX$18-GB$18)&gt;0,GB9,FX$18*GB9/GB$18)</f>
        <v>0</v>
      </c>
      <c r="GD9" s="165" t="s">
        <v>8</v>
      </c>
      <c r="GE9" s="154" t="s">
        <v>8</v>
      </c>
      <c r="GF9" s="169">
        <f t="shared" ref="GF9:GF17" si="222">((($H9+$L9+$Q9+$W9+$AC9+$AI9+$AO9+$AU9+$BA9+$BG9+$BM9+$BS9+$BY9+$CE9+$CK9+$CQ9+$CW9+$DC9+$DI9+$DO9+$DU9+$EA9+$EG9+$EM9+$ES9+$EY9+$FE9+$FK9+$FQ9+$FW9+$GC9)/$G9)/$J$18)/$I9</f>
        <v>0.45582324429070076</v>
      </c>
      <c r="GG9" s="155">
        <f t="shared" ref="GG9:GG17" si="223">GE$18-GF9</f>
        <v>7.5578004419515343E-3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102167.42269525613</v>
      </c>
      <c r="GI9" s="173">
        <f t="shared" ref="GI9:GI17" si="225">IF((GD$18-GH$18)&gt;0,GH9,GD$18*GH9/GH$18)</f>
        <v>0</v>
      </c>
      <c r="GJ9" s="171">
        <f>Q9+W9+AC9+AI9+AO9+AU9+BA9+BG9+BM9+BS9+BY9+CE9+CK9+CQ9+CW9+DC9+DI9+DO9+DU9+EA9+EG9+EM9+ES9+EY9+FE9+FK9+FQ9+FW9+GC9+GI9</f>
        <v>0</v>
      </c>
      <c r="GK9" s="157">
        <f t="shared" ref="GK9:GK18" si="226">L9+GJ9</f>
        <v>1132844.4471593234</v>
      </c>
      <c r="GL9" s="158">
        <f t="shared" ref="GL9:GL17" si="227">K9+GK9/($H$18/$G$18)/G9/I9</f>
        <v>0.45582324429070076</v>
      </c>
    </row>
    <row r="10" spans="1:194" s="26" customFormat="1" ht="31.5" x14ac:dyDescent="0.2">
      <c r="A10" s="176" t="s">
        <v>174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825</v>
      </c>
      <c r="H10" s="32">
        <f>'Исходные данные'!D12</f>
        <v>783336</v>
      </c>
      <c r="I10" s="33">
        <f>'Расчет КРП'!G8</f>
        <v>6.1151659362757229</v>
      </c>
      <c r="J10" s="117" t="s">
        <v>8</v>
      </c>
      <c r="K10" s="121">
        <f t="shared" si="104"/>
        <v>0.15809867939146918</v>
      </c>
      <c r="L10" s="79">
        <f t="shared" si="105"/>
        <v>884197.41618395643</v>
      </c>
      <c r="M10" s="75">
        <f t="shared" si="106"/>
        <v>0.33655395761184054</v>
      </c>
      <c r="N10" s="31" t="s">
        <v>8</v>
      </c>
      <c r="O10" s="34">
        <f t="shared" si="107"/>
        <v>7.6261385073225829E-2</v>
      </c>
      <c r="P10" s="35">
        <f t="shared" si="108"/>
        <v>790200.81302914838</v>
      </c>
      <c r="Q10" s="82">
        <f t="shared" si="109"/>
        <v>286688.81061429065</v>
      </c>
      <c r="R10" s="152" t="s">
        <v>8</v>
      </c>
      <c r="S10" s="31" t="s">
        <v>8</v>
      </c>
      <c r="T10" s="36">
        <f t="shared" si="110"/>
        <v>0.39441561896077681</v>
      </c>
      <c r="U10" s="34">
        <f t="shared" si="111"/>
        <v>6.8965425771875477E-2</v>
      </c>
      <c r="V10" s="55">
        <f t="shared" si="112"/>
        <v>807826.2178365764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0.39441561896077681</v>
      </c>
      <c r="AA10" s="34">
        <f t="shared" si="115"/>
        <v>6.8965425771875477E-2</v>
      </c>
      <c r="AB10" s="55">
        <f t="shared" si="116"/>
        <v>807826.2178365764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0.39441561896077681</v>
      </c>
      <c r="AG10" s="34">
        <f t="shared" si="119"/>
        <v>6.8965425771875477E-2</v>
      </c>
      <c r="AH10" s="55">
        <f t="shared" si="120"/>
        <v>807826.2178365764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0.39441561896077681</v>
      </c>
      <c r="AM10" s="34">
        <f t="shared" si="123"/>
        <v>6.8965425771875477E-2</v>
      </c>
      <c r="AN10" s="55">
        <f t="shared" si="124"/>
        <v>807826.2178365764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0.39441561896077681</v>
      </c>
      <c r="AS10" s="34">
        <f t="shared" si="127"/>
        <v>6.8965425771875477E-2</v>
      </c>
      <c r="AT10" s="55">
        <f t="shared" si="128"/>
        <v>807826.2178365764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0.39441561896077681</v>
      </c>
      <c r="AY10" s="34">
        <f t="shared" si="131"/>
        <v>6.8965425771875477E-2</v>
      </c>
      <c r="AZ10" s="55">
        <f t="shared" si="132"/>
        <v>807826.2178365764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0.39441561896077681</v>
      </c>
      <c r="BE10" s="34">
        <f t="shared" si="135"/>
        <v>6.8965425771875477E-2</v>
      </c>
      <c r="BF10" s="55">
        <f t="shared" si="136"/>
        <v>807826.2178365764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0.39441561896077681</v>
      </c>
      <c r="BK10" s="34">
        <f t="shared" si="139"/>
        <v>6.8965425771875477E-2</v>
      </c>
      <c r="BL10" s="55">
        <f t="shared" si="140"/>
        <v>807826.2178365764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0.39441561896077681</v>
      </c>
      <c r="BQ10" s="34">
        <f t="shared" si="143"/>
        <v>6.8965425771875477E-2</v>
      </c>
      <c r="BR10" s="55">
        <f t="shared" si="144"/>
        <v>807826.2178365764</v>
      </c>
      <c r="BS10" s="129">
        <f t="shared" si="145"/>
        <v>0</v>
      </c>
      <c r="BT10" s="78" t="s">
        <v>8</v>
      </c>
      <c r="BU10" s="31" t="s">
        <v>8</v>
      </c>
      <c r="BV10" s="36">
        <f t="shared" si="146"/>
        <v>0.39441561896077681</v>
      </c>
      <c r="BW10" s="34">
        <f t="shared" si="147"/>
        <v>6.8965425771875477E-2</v>
      </c>
      <c r="BX10" s="55">
        <f t="shared" si="148"/>
        <v>807826.2178365764</v>
      </c>
      <c r="BY10" s="129">
        <f t="shared" si="149"/>
        <v>0</v>
      </c>
      <c r="BZ10" s="78" t="s">
        <v>8</v>
      </c>
      <c r="CA10" s="31" t="s">
        <v>8</v>
      </c>
      <c r="CB10" s="36">
        <f t="shared" si="150"/>
        <v>0.39441561896077681</v>
      </c>
      <c r="CC10" s="34">
        <f t="shared" si="151"/>
        <v>6.8965425771875477E-2</v>
      </c>
      <c r="CD10" s="55">
        <f t="shared" si="152"/>
        <v>807826.2178365764</v>
      </c>
      <c r="CE10" s="129">
        <f t="shared" si="153"/>
        <v>0</v>
      </c>
      <c r="CF10" s="78" t="s">
        <v>8</v>
      </c>
      <c r="CG10" s="31" t="s">
        <v>8</v>
      </c>
      <c r="CH10" s="36">
        <f t="shared" si="154"/>
        <v>0.39441561896077681</v>
      </c>
      <c r="CI10" s="34">
        <f t="shared" si="155"/>
        <v>6.8965425771875477E-2</v>
      </c>
      <c r="CJ10" s="55">
        <f t="shared" si="156"/>
        <v>807826.2178365764</v>
      </c>
      <c r="CK10" s="129">
        <f t="shared" si="157"/>
        <v>0</v>
      </c>
      <c r="CL10" s="78" t="s">
        <v>8</v>
      </c>
      <c r="CM10" s="31" t="s">
        <v>8</v>
      </c>
      <c r="CN10" s="36">
        <f t="shared" si="158"/>
        <v>0.39441561896077681</v>
      </c>
      <c r="CO10" s="34">
        <f t="shared" si="159"/>
        <v>6.8965425771875477E-2</v>
      </c>
      <c r="CP10" s="55">
        <f t="shared" si="160"/>
        <v>807826.2178365764</v>
      </c>
      <c r="CQ10" s="129">
        <f t="shared" si="161"/>
        <v>0</v>
      </c>
      <c r="CR10" s="78" t="s">
        <v>8</v>
      </c>
      <c r="CS10" s="31" t="s">
        <v>8</v>
      </c>
      <c r="CT10" s="36">
        <f t="shared" si="162"/>
        <v>0.39441561896077681</v>
      </c>
      <c r="CU10" s="34">
        <f t="shared" si="163"/>
        <v>6.8965425771875477E-2</v>
      </c>
      <c r="CV10" s="55">
        <f t="shared" si="164"/>
        <v>807826.2178365764</v>
      </c>
      <c r="CW10" s="129">
        <f t="shared" si="165"/>
        <v>0</v>
      </c>
      <c r="CX10" s="78" t="s">
        <v>8</v>
      </c>
      <c r="CY10" s="31" t="s">
        <v>8</v>
      </c>
      <c r="CZ10" s="36">
        <f t="shared" si="166"/>
        <v>0.39441561896077681</v>
      </c>
      <c r="DA10" s="34">
        <f t="shared" si="167"/>
        <v>6.8965425771875477E-2</v>
      </c>
      <c r="DB10" s="55">
        <f t="shared" si="168"/>
        <v>807826.2178365764</v>
      </c>
      <c r="DC10" s="129">
        <f t="shared" si="169"/>
        <v>0</v>
      </c>
      <c r="DD10" s="78" t="s">
        <v>8</v>
      </c>
      <c r="DE10" s="31" t="s">
        <v>8</v>
      </c>
      <c r="DF10" s="36">
        <f t="shared" si="170"/>
        <v>0.39441561896077681</v>
      </c>
      <c r="DG10" s="34">
        <f t="shared" si="171"/>
        <v>6.8965425771875477E-2</v>
      </c>
      <c r="DH10" s="55">
        <f t="shared" si="172"/>
        <v>807826.2178365764</v>
      </c>
      <c r="DI10" s="129">
        <f t="shared" si="173"/>
        <v>0</v>
      </c>
      <c r="DJ10" s="78" t="s">
        <v>8</v>
      </c>
      <c r="DK10" s="31" t="s">
        <v>8</v>
      </c>
      <c r="DL10" s="36">
        <f t="shared" si="174"/>
        <v>0.39441561896077681</v>
      </c>
      <c r="DM10" s="34">
        <f t="shared" si="175"/>
        <v>6.8965425771875477E-2</v>
      </c>
      <c r="DN10" s="55">
        <f t="shared" si="176"/>
        <v>807826.2178365764</v>
      </c>
      <c r="DO10" s="129">
        <f t="shared" si="177"/>
        <v>0</v>
      </c>
      <c r="DP10" s="78" t="s">
        <v>8</v>
      </c>
      <c r="DQ10" s="31" t="s">
        <v>8</v>
      </c>
      <c r="DR10" s="36">
        <f t="shared" si="178"/>
        <v>0.39441561896077681</v>
      </c>
      <c r="DS10" s="34">
        <f t="shared" si="179"/>
        <v>6.8965425771875477E-2</v>
      </c>
      <c r="DT10" s="55">
        <f t="shared" si="180"/>
        <v>807826.2178365764</v>
      </c>
      <c r="DU10" s="129">
        <f t="shared" si="181"/>
        <v>0</v>
      </c>
      <c r="DV10" s="78" t="s">
        <v>8</v>
      </c>
      <c r="DW10" s="31" t="s">
        <v>8</v>
      </c>
      <c r="DX10" s="36">
        <f t="shared" si="182"/>
        <v>0.39441561896077681</v>
      </c>
      <c r="DY10" s="34">
        <f t="shared" si="183"/>
        <v>6.8965425771875477E-2</v>
      </c>
      <c r="DZ10" s="35">
        <f t="shared" si="184"/>
        <v>807826.2178365764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0.39441561896077681</v>
      </c>
      <c r="EE10" s="34">
        <f t="shared" si="187"/>
        <v>6.8965425771875477E-2</v>
      </c>
      <c r="EF10" s="35">
        <f t="shared" si="188"/>
        <v>807826.2178365764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0.39441561896077681</v>
      </c>
      <c r="EK10" s="34">
        <f t="shared" si="191"/>
        <v>6.8965425771875477E-2</v>
      </c>
      <c r="EL10" s="35">
        <f t="shared" si="192"/>
        <v>807826.2178365764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0.39441561896077681</v>
      </c>
      <c r="EQ10" s="34">
        <f t="shared" si="195"/>
        <v>6.8965425771875477E-2</v>
      </c>
      <c r="ER10" s="35">
        <f t="shared" si="196"/>
        <v>807826.2178365764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0.39441561896077681</v>
      </c>
      <c r="EW10" s="34">
        <f t="shared" si="199"/>
        <v>6.8965425771875477E-2</v>
      </c>
      <c r="EX10" s="35">
        <f t="shared" si="200"/>
        <v>807826.2178365764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0.39441561896077681</v>
      </c>
      <c r="FC10" s="34">
        <f t="shared" si="203"/>
        <v>6.8965425771875477E-2</v>
      </c>
      <c r="FD10" s="35">
        <f t="shared" si="204"/>
        <v>807826.2178365764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0.39441561896077681</v>
      </c>
      <c r="FI10" s="34">
        <f t="shared" si="207"/>
        <v>6.8965425771875477E-2</v>
      </c>
      <c r="FJ10" s="35">
        <f t="shared" si="208"/>
        <v>807826.2178365764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0.39441561896077681</v>
      </c>
      <c r="FO10" s="34">
        <f t="shared" si="211"/>
        <v>6.8965425771875477E-2</v>
      </c>
      <c r="FP10" s="35">
        <f t="shared" si="212"/>
        <v>807826.2178365764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0.39441561896077681</v>
      </c>
      <c r="FU10" s="34">
        <f t="shared" si="215"/>
        <v>6.8965425771875477E-2</v>
      </c>
      <c r="FV10" s="35">
        <f t="shared" si="216"/>
        <v>807826.2178365764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0.39441561896077681</v>
      </c>
      <c r="GA10" s="34">
        <f t="shared" si="219"/>
        <v>6.8965425771875477E-2</v>
      </c>
      <c r="GB10" s="35">
        <f t="shared" si="220"/>
        <v>807826.2178365764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0.39441561896077681</v>
      </c>
      <c r="GG10" s="34">
        <f t="shared" si="223"/>
        <v>6.8965425771875477E-2</v>
      </c>
      <c r="GH10" s="35">
        <f t="shared" si="224"/>
        <v>807826.2178365764</v>
      </c>
      <c r="GI10" s="129">
        <f t="shared" si="225"/>
        <v>0</v>
      </c>
      <c r="GJ10" s="159">
        <f t="shared" ref="GJ10:GJ17" si="228">Q10+W10+AC10+AI10+AO10+AU10+BA10+BG10+BM10+BS10+BY10+CE10+CK10+CQ10+CW10+DC10+DI10+DO10+DU10+EA10+EG10+EM10+ES10+EY10+FE10+FK10+FQ10+FW10+GC10+GI10</f>
        <v>286688.81061429065</v>
      </c>
      <c r="GK10" s="101">
        <f t="shared" si="226"/>
        <v>1170886.2267982471</v>
      </c>
      <c r="GL10" s="88">
        <f t="shared" si="227"/>
        <v>0.39441561896077681</v>
      </c>
    </row>
    <row r="11" spans="1:194" s="26" customFormat="1" x14ac:dyDescent="0.2">
      <c r="A11" s="176" t="s">
        <v>175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1025</v>
      </c>
      <c r="H11" s="32">
        <f>'Исходные данные'!D13</f>
        <v>1037363</v>
      </c>
      <c r="I11" s="33">
        <f>'Расчет КРП'!G9</f>
        <v>5.7651056662086928</v>
      </c>
      <c r="J11" s="117" t="s">
        <v>8</v>
      </c>
      <c r="K11" s="121">
        <f t="shared" si="104"/>
        <v>0.17874831959483492</v>
      </c>
      <c r="L11" s="79">
        <f t="shared" si="105"/>
        <v>1098548.3049558247</v>
      </c>
      <c r="M11" s="75">
        <f t="shared" si="106"/>
        <v>0.36803949684388654</v>
      </c>
      <c r="N11" s="31" t="s">
        <v>8</v>
      </c>
      <c r="O11" s="34">
        <f t="shared" si="107"/>
        <v>4.4775845841179829E-2</v>
      </c>
      <c r="P11" s="35">
        <f t="shared" si="108"/>
        <v>543432.39564146136</v>
      </c>
      <c r="Q11" s="82">
        <f t="shared" si="109"/>
        <v>197159.99349393012</v>
      </c>
      <c r="R11" s="152" t="s">
        <v>8</v>
      </c>
      <c r="S11" s="31" t="s">
        <v>8</v>
      </c>
      <c r="T11" s="36">
        <f t="shared" si="110"/>
        <v>0.40201219254285459</v>
      </c>
      <c r="U11" s="34">
        <f t="shared" si="111"/>
        <v>6.1368852189797707E-2</v>
      </c>
      <c r="V11" s="55">
        <f t="shared" si="112"/>
        <v>841983.27558068361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0.40201219254285459</v>
      </c>
      <c r="AA11" s="34">
        <f t="shared" si="115"/>
        <v>6.1368852189797707E-2</v>
      </c>
      <c r="AB11" s="55">
        <f t="shared" si="116"/>
        <v>841983.27558068361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0.40201219254285459</v>
      </c>
      <c r="AG11" s="34">
        <f t="shared" si="119"/>
        <v>6.1368852189797707E-2</v>
      </c>
      <c r="AH11" s="55">
        <f t="shared" si="120"/>
        <v>841983.27558068361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0.40201219254285459</v>
      </c>
      <c r="AM11" s="34">
        <f t="shared" si="123"/>
        <v>6.1368852189797707E-2</v>
      </c>
      <c r="AN11" s="55">
        <f t="shared" si="124"/>
        <v>841983.27558068361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0.40201219254285459</v>
      </c>
      <c r="AS11" s="34">
        <f t="shared" si="127"/>
        <v>6.1368852189797707E-2</v>
      </c>
      <c r="AT11" s="55">
        <f t="shared" si="128"/>
        <v>841983.27558068361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0.40201219254285459</v>
      </c>
      <c r="AY11" s="34">
        <f t="shared" si="131"/>
        <v>6.1368852189797707E-2</v>
      </c>
      <c r="AZ11" s="55">
        <f t="shared" si="132"/>
        <v>841983.27558068361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0.40201219254285459</v>
      </c>
      <c r="BE11" s="34">
        <f t="shared" si="135"/>
        <v>6.1368852189797707E-2</v>
      </c>
      <c r="BF11" s="55">
        <f t="shared" si="136"/>
        <v>841983.27558068361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0.40201219254285459</v>
      </c>
      <c r="BK11" s="34">
        <f t="shared" si="139"/>
        <v>6.1368852189797707E-2</v>
      </c>
      <c r="BL11" s="55">
        <f t="shared" si="140"/>
        <v>841983.27558068361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0.40201219254285459</v>
      </c>
      <c r="BQ11" s="34">
        <f t="shared" si="143"/>
        <v>6.1368852189797707E-2</v>
      </c>
      <c r="BR11" s="55">
        <f t="shared" si="144"/>
        <v>841983.27558068361</v>
      </c>
      <c r="BS11" s="129">
        <f t="shared" si="145"/>
        <v>0</v>
      </c>
      <c r="BT11" s="78" t="s">
        <v>8</v>
      </c>
      <c r="BU11" s="31" t="s">
        <v>8</v>
      </c>
      <c r="BV11" s="36">
        <f t="shared" si="146"/>
        <v>0.40201219254285459</v>
      </c>
      <c r="BW11" s="34">
        <f t="shared" si="147"/>
        <v>6.1368852189797707E-2</v>
      </c>
      <c r="BX11" s="55">
        <f t="shared" si="148"/>
        <v>841983.27558068361</v>
      </c>
      <c r="BY11" s="129">
        <f t="shared" si="149"/>
        <v>0</v>
      </c>
      <c r="BZ11" s="78" t="s">
        <v>8</v>
      </c>
      <c r="CA11" s="31" t="s">
        <v>8</v>
      </c>
      <c r="CB11" s="36">
        <f t="shared" si="150"/>
        <v>0.40201219254285459</v>
      </c>
      <c r="CC11" s="34">
        <f t="shared" si="151"/>
        <v>6.1368852189797707E-2</v>
      </c>
      <c r="CD11" s="55">
        <f t="shared" si="152"/>
        <v>841983.27558068361</v>
      </c>
      <c r="CE11" s="129">
        <f t="shared" si="153"/>
        <v>0</v>
      </c>
      <c r="CF11" s="78" t="s">
        <v>8</v>
      </c>
      <c r="CG11" s="31" t="s">
        <v>8</v>
      </c>
      <c r="CH11" s="36">
        <f t="shared" si="154"/>
        <v>0.40201219254285459</v>
      </c>
      <c r="CI11" s="34">
        <f t="shared" si="155"/>
        <v>6.1368852189797707E-2</v>
      </c>
      <c r="CJ11" s="55">
        <f t="shared" si="156"/>
        <v>841983.27558068361</v>
      </c>
      <c r="CK11" s="129">
        <f t="shared" si="157"/>
        <v>0</v>
      </c>
      <c r="CL11" s="78" t="s">
        <v>8</v>
      </c>
      <c r="CM11" s="31" t="s">
        <v>8</v>
      </c>
      <c r="CN11" s="36">
        <f t="shared" si="158"/>
        <v>0.40201219254285459</v>
      </c>
      <c r="CO11" s="34">
        <f t="shared" si="159"/>
        <v>6.1368852189797707E-2</v>
      </c>
      <c r="CP11" s="55">
        <f t="shared" si="160"/>
        <v>841983.27558068361</v>
      </c>
      <c r="CQ11" s="129">
        <f t="shared" si="161"/>
        <v>0</v>
      </c>
      <c r="CR11" s="78" t="s">
        <v>8</v>
      </c>
      <c r="CS11" s="31" t="s">
        <v>8</v>
      </c>
      <c r="CT11" s="36">
        <f t="shared" si="162"/>
        <v>0.40201219254285459</v>
      </c>
      <c r="CU11" s="34">
        <f t="shared" si="163"/>
        <v>6.1368852189797707E-2</v>
      </c>
      <c r="CV11" s="55">
        <f t="shared" si="164"/>
        <v>841983.27558068361</v>
      </c>
      <c r="CW11" s="129">
        <f t="shared" si="165"/>
        <v>0</v>
      </c>
      <c r="CX11" s="78" t="s">
        <v>8</v>
      </c>
      <c r="CY11" s="31" t="s">
        <v>8</v>
      </c>
      <c r="CZ11" s="36">
        <f t="shared" si="166"/>
        <v>0.40201219254285459</v>
      </c>
      <c r="DA11" s="34">
        <f t="shared" si="167"/>
        <v>6.1368852189797707E-2</v>
      </c>
      <c r="DB11" s="55">
        <f t="shared" si="168"/>
        <v>841983.27558068361</v>
      </c>
      <c r="DC11" s="129">
        <f t="shared" si="169"/>
        <v>0</v>
      </c>
      <c r="DD11" s="78" t="s">
        <v>8</v>
      </c>
      <c r="DE11" s="31" t="s">
        <v>8</v>
      </c>
      <c r="DF11" s="36">
        <f t="shared" si="170"/>
        <v>0.40201219254285459</v>
      </c>
      <c r="DG11" s="34">
        <f t="shared" si="171"/>
        <v>6.1368852189797707E-2</v>
      </c>
      <c r="DH11" s="55">
        <f t="shared" si="172"/>
        <v>841983.27558068361</v>
      </c>
      <c r="DI11" s="129">
        <f t="shared" si="173"/>
        <v>0</v>
      </c>
      <c r="DJ11" s="78" t="s">
        <v>8</v>
      </c>
      <c r="DK11" s="31" t="s">
        <v>8</v>
      </c>
      <c r="DL11" s="36">
        <f t="shared" si="174"/>
        <v>0.40201219254285459</v>
      </c>
      <c r="DM11" s="34">
        <f t="shared" si="175"/>
        <v>6.1368852189797707E-2</v>
      </c>
      <c r="DN11" s="55">
        <f t="shared" si="176"/>
        <v>841983.27558068361</v>
      </c>
      <c r="DO11" s="129">
        <f t="shared" si="177"/>
        <v>0</v>
      </c>
      <c r="DP11" s="78" t="s">
        <v>8</v>
      </c>
      <c r="DQ11" s="31" t="s">
        <v>8</v>
      </c>
      <c r="DR11" s="36">
        <f t="shared" si="178"/>
        <v>0.40201219254285459</v>
      </c>
      <c r="DS11" s="34">
        <f t="shared" si="179"/>
        <v>6.1368852189797707E-2</v>
      </c>
      <c r="DT11" s="55">
        <f t="shared" si="180"/>
        <v>841983.27558068361</v>
      </c>
      <c r="DU11" s="129">
        <f t="shared" si="181"/>
        <v>0</v>
      </c>
      <c r="DV11" s="78" t="s">
        <v>8</v>
      </c>
      <c r="DW11" s="31" t="s">
        <v>8</v>
      </c>
      <c r="DX11" s="36">
        <f t="shared" si="182"/>
        <v>0.40201219254285459</v>
      </c>
      <c r="DY11" s="34">
        <f t="shared" si="183"/>
        <v>6.1368852189797707E-2</v>
      </c>
      <c r="DZ11" s="35">
        <f t="shared" si="184"/>
        <v>841983.27558068361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0.40201219254285459</v>
      </c>
      <c r="EE11" s="34">
        <f t="shared" si="187"/>
        <v>6.1368852189797707E-2</v>
      </c>
      <c r="EF11" s="35">
        <f t="shared" si="188"/>
        <v>841983.27558068361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0.40201219254285459</v>
      </c>
      <c r="EK11" s="34">
        <f t="shared" si="191"/>
        <v>6.1368852189797707E-2</v>
      </c>
      <c r="EL11" s="35">
        <f t="shared" si="192"/>
        <v>841983.27558068361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0.40201219254285459</v>
      </c>
      <c r="EQ11" s="34">
        <f t="shared" si="195"/>
        <v>6.1368852189797707E-2</v>
      </c>
      <c r="ER11" s="35">
        <f t="shared" si="196"/>
        <v>841983.27558068361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0.40201219254285459</v>
      </c>
      <c r="EW11" s="34">
        <f t="shared" si="199"/>
        <v>6.1368852189797707E-2</v>
      </c>
      <c r="EX11" s="35">
        <f t="shared" si="200"/>
        <v>841983.27558068361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0.40201219254285459</v>
      </c>
      <c r="FC11" s="34">
        <f t="shared" si="203"/>
        <v>6.1368852189797707E-2</v>
      </c>
      <c r="FD11" s="35">
        <f t="shared" si="204"/>
        <v>841983.27558068361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0.40201219254285459</v>
      </c>
      <c r="FI11" s="34">
        <f t="shared" si="207"/>
        <v>6.1368852189797707E-2</v>
      </c>
      <c r="FJ11" s="35">
        <f t="shared" si="208"/>
        <v>841983.27558068361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0.40201219254285459</v>
      </c>
      <c r="FO11" s="34">
        <f t="shared" si="211"/>
        <v>6.1368852189797707E-2</v>
      </c>
      <c r="FP11" s="35">
        <f t="shared" si="212"/>
        <v>841983.27558068361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0.40201219254285459</v>
      </c>
      <c r="FU11" s="34">
        <f t="shared" si="215"/>
        <v>6.1368852189797707E-2</v>
      </c>
      <c r="FV11" s="35">
        <f t="shared" si="216"/>
        <v>841983.27558068361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0.40201219254285459</v>
      </c>
      <c r="GA11" s="34">
        <f t="shared" si="219"/>
        <v>6.1368852189797707E-2</v>
      </c>
      <c r="GB11" s="35">
        <f t="shared" si="220"/>
        <v>841983.27558068361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0.40201219254285459</v>
      </c>
      <c r="GG11" s="34">
        <f t="shared" si="223"/>
        <v>6.1368852189797707E-2</v>
      </c>
      <c r="GH11" s="35">
        <f t="shared" si="224"/>
        <v>841983.27558068361</v>
      </c>
      <c r="GI11" s="129">
        <f t="shared" si="225"/>
        <v>0</v>
      </c>
      <c r="GJ11" s="159">
        <f t="shared" si="228"/>
        <v>197159.99349393012</v>
      </c>
      <c r="GK11" s="101">
        <f t="shared" si="226"/>
        <v>1295708.2984497549</v>
      </c>
      <c r="GL11" s="88">
        <f t="shared" si="227"/>
        <v>0.40201219254285464</v>
      </c>
    </row>
    <row r="12" spans="1:194" s="26" customFormat="1" x14ac:dyDescent="0.2">
      <c r="A12" s="176" t="s">
        <v>176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763</v>
      </c>
      <c r="H12" s="32">
        <f>'Исходные данные'!D14</f>
        <v>766043</v>
      </c>
      <c r="I12" s="33">
        <f>'Расчет КРП'!G10</f>
        <v>5.8949716354779129</v>
      </c>
      <c r="J12" s="117" t="s">
        <v>8</v>
      </c>
      <c r="K12" s="121">
        <f t="shared" si="104"/>
        <v>0.17341603078412726</v>
      </c>
      <c r="L12" s="79">
        <f t="shared" si="105"/>
        <v>817748.64066467737</v>
      </c>
      <c r="M12" s="75">
        <f t="shared" si="106"/>
        <v>0.3585371316142163</v>
      </c>
      <c r="N12" s="31" t="s">
        <v>8</v>
      </c>
      <c r="O12" s="34">
        <f t="shared" si="107"/>
        <v>5.4278211070850069E-2</v>
      </c>
      <c r="P12" s="35">
        <f t="shared" si="108"/>
        <v>501420.8305713975</v>
      </c>
      <c r="Q12" s="82">
        <f t="shared" si="109"/>
        <v>181917.987381824</v>
      </c>
      <c r="R12" s="152" t="s">
        <v>8</v>
      </c>
      <c r="S12" s="31" t="s">
        <v>8</v>
      </c>
      <c r="T12" s="36">
        <f t="shared" si="110"/>
        <v>0.39971953952081274</v>
      </c>
      <c r="U12" s="34">
        <f t="shared" si="111"/>
        <v>6.3661505211839553E-2</v>
      </c>
      <c r="V12" s="55">
        <f t="shared" si="112"/>
        <v>664825.22324250429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0.39971953952081274</v>
      </c>
      <c r="AA12" s="34">
        <f t="shared" si="115"/>
        <v>6.3661505211839553E-2</v>
      </c>
      <c r="AB12" s="55">
        <f t="shared" si="116"/>
        <v>664825.22324250429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0.39971953952081274</v>
      </c>
      <c r="AG12" s="34">
        <f t="shared" si="119"/>
        <v>6.3661505211839553E-2</v>
      </c>
      <c r="AH12" s="55">
        <f t="shared" si="120"/>
        <v>664825.22324250429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0.39971953952081274</v>
      </c>
      <c r="AM12" s="34">
        <f t="shared" si="123"/>
        <v>6.3661505211839553E-2</v>
      </c>
      <c r="AN12" s="55">
        <f t="shared" si="124"/>
        <v>664825.22324250429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0.39971953952081274</v>
      </c>
      <c r="AS12" s="34">
        <f t="shared" si="127"/>
        <v>6.3661505211839553E-2</v>
      </c>
      <c r="AT12" s="55">
        <f t="shared" si="128"/>
        <v>664825.22324250429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0.39971953952081274</v>
      </c>
      <c r="AY12" s="34">
        <f t="shared" si="131"/>
        <v>6.3661505211839553E-2</v>
      </c>
      <c r="AZ12" s="55">
        <f t="shared" si="132"/>
        <v>664825.22324250429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0.39971953952081274</v>
      </c>
      <c r="BE12" s="34">
        <f t="shared" si="135"/>
        <v>6.3661505211839553E-2</v>
      </c>
      <c r="BF12" s="55">
        <f t="shared" si="136"/>
        <v>664825.22324250429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0.39971953952081274</v>
      </c>
      <c r="BK12" s="34">
        <f t="shared" si="139"/>
        <v>6.3661505211839553E-2</v>
      </c>
      <c r="BL12" s="55">
        <f t="shared" si="140"/>
        <v>664825.22324250429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0.39971953952081274</v>
      </c>
      <c r="BQ12" s="34">
        <f t="shared" si="143"/>
        <v>6.3661505211839553E-2</v>
      </c>
      <c r="BR12" s="55">
        <f t="shared" si="144"/>
        <v>664825.22324250429</v>
      </c>
      <c r="BS12" s="129">
        <f t="shared" si="145"/>
        <v>0</v>
      </c>
      <c r="BT12" s="78" t="s">
        <v>8</v>
      </c>
      <c r="BU12" s="31" t="s">
        <v>8</v>
      </c>
      <c r="BV12" s="36">
        <f t="shared" si="146"/>
        <v>0.39971953952081274</v>
      </c>
      <c r="BW12" s="34">
        <f t="shared" si="147"/>
        <v>6.3661505211839553E-2</v>
      </c>
      <c r="BX12" s="55">
        <f t="shared" si="148"/>
        <v>664825.22324250429</v>
      </c>
      <c r="BY12" s="129">
        <f t="shared" si="149"/>
        <v>0</v>
      </c>
      <c r="BZ12" s="78" t="s">
        <v>8</v>
      </c>
      <c r="CA12" s="31" t="s">
        <v>8</v>
      </c>
      <c r="CB12" s="36">
        <f t="shared" si="150"/>
        <v>0.39971953952081274</v>
      </c>
      <c r="CC12" s="34">
        <f t="shared" si="151"/>
        <v>6.3661505211839553E-2</v>
      </c>
      <c r="CD12" s="55">
        <f t="shared" si="152"/>
        <v>664825.22324250429</v>
      </c>
      <c r="CE12" s="129">
        <f t="shared" si="153"/>
        <v>0</v>
      </c>
      <c r="CF12" s="78" t="s">
        <v>8</v>
      </c>
      <c r="CG12" s="31" t="s">
        <v>8</v>
      </c>
      <c r="CH12" s="36">
        <f t="shared" si="154"/>
        <v>0.39971953952081274</v>
      </c>
      <c r="CI12" s="34">
        <f t="shared" si="155"/>
        <v>6.3661505211839553E-2</v>
      </c>
      <c r="CJ12" s="55">
        <f t="shared" si="156"/>
        <v>664825.22324250429</v>
      </c>
      <c r="CK12" s="129">
        <f t="shared" si="157"/>
        <v>0</v>
      </c>
      <c r="CL12" s="78" t="s">
        <v>8</v>
      </c>
      <c r="CM12" s="31" t="s">
        <v>8</v>
      </c>
      <c r="CN12" s="36">
        <f t="shared" si="158"/>
        <v>0.39971953952081274</v>
      </c>
      <c r="CO12" s="34">
        <f t="shared" si="159"/>
        <v>6.3661505211839553E-2</v>
      </c>
      <c r="CP12" s="55">
        <f t="shared" si="160"/>
        <v>664825.22324250429</v>
      </c>
      <c r="CQ12" s="129">
        <f t="shared" si="161"/>
        <v>0</v>
      </c>
      <c r="CR12" s="78" t="s">
        <v>8</v>
      </c>
      <c r="CS12" s="31" t="s">
        <v>8</v>
      </c>
      <c r="CT12" s="36">
        <f t="shared" si="162"/>
        <v>0.39971953952081274</v>
      </c>
      <c r="CU12" s="34">
        <f t="shared" si="163"/>
        <v>6.3661505211839553E-2</v>
      </c>
      <c r="CV12" s="55">
        <f t="shared" si="164"/>
        <v>664825.22324250429</v>
      </c>
      <c r="CW12" s="129">
        <f t="shared" si="165"/>
        <v>0</v>
      </c>
      <c r="CX12" s="78" t="s">
        <v>8</v>
      </c>
      <c r="CY12" s="31" t="s">
        <v>8</v>
      </c>
      <c r="CZ12" s="36">
        <f t="shared" si="166"/>
        <v>0.39971953952081274</v>
      </c>
      <c r="DA12" s="34">
        <f t="shared" si="167"/>
        <v>6.3661505211839553E-2</v>
      </c>
      <c r="DB12" s="55">
        <f t="shared" si="168"/>
        <v>664825.22324250429</v>
      </c>
      <c r="DC12" s="129">
        <f t="shared" si="169"/>
        <v>0</v>
      </c>
      <c r="DD12" s="78" t="s">
        <v>8</v>
      </c>
      <c r="DE12" s="31" t="s">
        <v>8</v>
      </c>
      <c r="DF12" s="36">
        <f t="shared" si="170"/>
        <v>0.39971953952081274</v>
      </c>
      <c r="DG12" s="34">
        <f t="shared" si="171"/>
        <v>6.3661505211839553E-2</v>
      </c>
      <c r="DH12" s="55">
        <f t="shared" si="172"/>
        <v>664825.22324250429</v>
      </c>
      <c r="DI12" s="129">
        <f t="shared" si="173"/>
        <v>0</v>
      </c>
      <c r="DJ12" s="78" t="s">
        <v>8</v>
      </c>
      <c r="DK12" s="31" t="s">
        <v>8</v>
      </c>
      <c r="DL12" s="36">
        <f t="shared" si="174"/>
        <v>0.39971953952081274</v>
      </c>
      <c r="DM12" s="34">
        <f t="shared" si="175"/>
        <v>6.3661505211839553E-2</v>
      </c>
      <c r="DN12" s="55">
        <f t="shared" si="176"/>
        <v>664825.22324250429</v>
      </c>
      <c r="DO12" s="129">
        <f t="shared" si="177"/>
        <v>0</v>
      </c>
      <c r="DP12" s="78" t="s">
        <v>8</v>
      </c>
      <c r="DQ12" s="31" t="s">
        <v>8</v>
      </c>
      <c r="DR12" s="36">
        <f t="shared" si="178"/>
        <v>0.39971953952081274</v>
      </c>
      <c r="DS12" s="34">
        <f t="shared" si="179"/>
        <v>6.3661505211839553E-2</v>
      </c>
      <c r="DT12" s="55">
        <f t="shared" si="180"/>
        <v>664825.22324250429</v>
      </c>
      <c r="DU12" s="129">
        <f t="shared" si="181"/>
        <v>0</v>
      </c>
      <c r="DV12" s="78" t="s">
        <v>8</v>
      </c>
      <c r="DW12" s="31" t="s">
        <v>8</v>
      </c>
      <c r="DX12" s="36">
        <f t="shared" si="182"/>
        <v>0.39971953952081274</v>
      </c>
      <c r="DY12" s="34">
        <f t="shared" si="183"/>
        <v>6.3661505211839553E-2</v>
      </c>
      <c r="DZ12" s="35">
        <f t="shared" si="184"/>
        <v>664825.22324250429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0.39971953952081274</v>
      </c>
      <c r="EE12" s="34">
        <f t="shared" si="187"/>
        <v>6.3661505211839553E-2</v>
      </c>
      <c r="EF12" s="35">
        <f t="shared" si="188"/>
        <v>664825.22324250429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0.39971953952081274</v>
      </c>
      <c r="EK12" s="34">
        <f t="shared" si="191"/>
        <v>6.3661505211839553E-2</v>
      </c>
      <c r="EL12" s="35">
        <f t="shared" si="192"/>
        <v>664825.22324250429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0.39971953952081274</v>
      </c>
      <c r="EQ12" s="34">
        <f t="shared" si="195"/>
        <v>6.3661505211839553E-2</v>
      </c>
      <c r="ER12" s="35">
        <f t="shared" si="196"/>
        <v>664825.22324250429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0.39971953952081274</v>
      </c>
      <c r="EW12" s="34">
        <f t="shared" si="199"/>
        <v>6.3661505211839553E-2</v>
      </c>
      <c r="EX12" s="35">
        <f t="shared" si="200"/>
        <v>664825.22324250429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0.39971953952081274</v>
      </c>
      <c r="FC12" s="34">
        <f t="shared" si="203"/>
        <v>6.3661505211839553E-2</v>
      </c>
      <c r="FD12" s="35">
        <f t="shared" si="204"/>
        <v>664825.22324250429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0.39971953952081274</v>
      </c>
      <c r="FI12" s="34">
        <f t="shared" si="207"/>
        <v>6.3661505211839553E-2</v>
      </c>
      <c r="FJ12" s="35">
        <f t="shared" si="208"/>
        <v>664825.22324250429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0.39971953952081274</v>
      </c>
      <c r="FO12" s="34">
        <f t="shared" si="211"/>
        <v>6.3661505211839553E-2</v>
      </c>
      <c r="FP12" s="35">
        <f t="shared" si="212"/>
        <v>664825.22324250429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0.39971953952081274</v>
      </c>
      <c r="FU12" s="34">
        <f t="shared" si="215"/>
        <v>6.3661505211839553E-2</v>
      </c>
      <c r="FV12" s="35">
        <f t="shared" si="216"/>
        <v>664825.22324250429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0.39971953952081274</v>
      </c>
      <c r="GA12" s="34">
        <f t="shared" si="219"/>
        <v>6.3661505211839553E-2</v>
      </c>
      <c r="GB12" s="35">
        <f t="shared" si="220"/>
        <v>664825.22324250429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0.39971953952081274</v>
      </c>
      <c r="GG12" s="34">
        <f t="shared" si="223"/>
        <v>6.3661505211839553E-2</v>
      </c>
      <c r="GH12" s="35">
        <f t="shared" si="224"/>
        <v>664825.22324250429</v>
      </c>
      <c r="GI12" s="129">
        <f t="shared" si="225"/>
        <v>0</v>
      </c>
      <c r="GJ12" s="159">
        <f t="shared" si="228"/>
        <v>181917.987381824</v>
      </c>
      <c r="GK12" s="101">
        <f t="shared" si="226"/>
        <v>999666.62804650143</v>
      </c>
      <c r="GL12" s="88">
        <f t="shared" si="227"/>
        <v>0.39971953952081274</v>
      </c>
    </row>
    <row r="13" spans="1:194" s="26" customFormat="1" ht="15.75" customHeight="1" x14ac:dyDescent="0.2">
      <c r="A13" s="176" t="s">
        <v>177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1928</v>
      </c>
      <c r="H13" s="32">
        <f>'Исходные данные'!D15</f>
        <v>841337</v>
      </c>
      <c r="I13" s="33">
        <f>'Расчет КРП'!G11</f>
        <v>6.2331927652799619</v>
      </c>
      <c r="J13" s="117" t="s">
        <v>8</v>
      </c>
      <c r="K13" s="121">
        <f t="shared" si="104"/>
        <v>7.1284441624432357E-2</v>
      </c>
      <c r="L13" s="79">
        <f t="shared" si="105"/>
        <v>2066342.5677608098</v>
      </c>
      <c r="M13" s="75">
        <f t="shared" si="106"/>
        <v>0.24636063124598129</v>
      </c>
      <c r="N13" s="31" t="s">
        <v>8</v>
      </c>
      <c r="O13" s="34">
        <f t="shared" si="107"/>
        <v>0.16645471143908508</v>
      </c>
      <c r="P13" s="35">
        <f t="shared" si="108"/>
        <v>4108509.2433488844</v>
      </c>
      <c r="Q13" s="82">
        <f t="shared" si="109"/>
        <v>1490587.7201749508</v>
      </c>
      <c r="R13" s="152" t="s">
        <v>8</v>
      </c>
      <c r="S13" s="31" t="s">
        <v>8</v>
      </c>
      <c r="T13" s="36">
        <f t="shared" si="110"/>
        <v>0.37265451030384633</v>
      </c>
      <c r="U13" s="34">
        <f t="shared" si="111"/>
        <v>9.0726534428805961E-2</v>
      </c>
      <c r="V13" s="55">
        <f t="shared" si="112"/>
        <v>2531490.1214901484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0.37265451030384633</v>
      </c>
      <c r="AA13" s="34">
        <f t="shared" si="115"/>
        <v>9.0726534428805961E-2</v>
      </c>
      <c r="AB13" s="55">
        <f t="shared" si="116"/>
        <v>2531490.1214901484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0.37265451030384633</v>
      </c>
      <c r="AG13" s="34">
        <f t="shared" si="119"/>
        <v>9.0726534428805961E-2</v>
      </c>
      <c r="AH13" s="55">
        <f t="shared" si="120"/>
        <v>2531490.1214901484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0.37265451030384633</v>
      </c>
      <c r="AM13" s="34">
        <f t="shared" si="123"/>
        <v>9.0726534428805961E-2</v>
      </c>
      <c r="AN13" s="55">
        <f t="shared" si="124"/>
        <v>2531490.1214901484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0.37265451030384633</v>
      </c>
      <c r="AS13" s="34">
        <f t="shared" si="127"/>
        <v>9.0726534428805961E-2</v>
      </c>
      <c r="AT13" s="55">
        <f t="shared" si="128"/>
        <v>2531490.1214901484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0.37265451030384633</v>
      </c>
      <c r="AY13" s="34">
        <f t="shared" si="131"/>
        <v>9.0726534428805961E-2</v>
      </c>
      <c r="AZ13" s="55">
        <f t="shared" si="132"/>
        <v>2531490.1214901484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0.37265451030384633</v>
      </c>
      <c r="BE13" s="34">
        <f t="shared" si="135"/>
        <v>9.0726534428805961E-2</v>
      </c>
      <c r="BF13" s="55">
        <f t="shared" si="136"/>
        <v>2531490.1214901484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0.37265451030384633</v>
      </c>
      <c r="BK13" s="34">
        <f t="shared" si="139"/>
        <v>9.0726534428805961E-2</v>
      </c>
      <c r="BL13" s="55">
        <f t="shared" si="140"/>
        <v>2531490.1214901484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0.37265451030384633</v>
      </c>
      <c r="BQ13" s="34">
        <f t="shared" si="143"/>
        <v>9.0726534428805961E-2</v>
      </c>
      <c r="BR13" s="55">
        <f t="shared" si="144"/>
        <v>2531490.1214901484</v>
      </c>
      <c r="BS13" s="129">
        <f t="shared" si="145"/>
        <v>0</v>
      </c>
      <c r="BT13" s="78" t="s">
        <v>8</v>
      </c>
      <c r="BU13" s="31" t="s">
        <v>8</v>
      </c>
      <c r="BV13" s="36">
        <f t="shared" si="146"/>
        <v>0.37265451030384633</v>
      </c>
      <c r="BW13" s="34">
        <f t="shared" si="147"/>
        <v>9.0726534428805961E-2</v>
      </c>
      <c r="BX13" s="55">
        <f t="shared" si="148"/>
        <v>2531490.1214901484</v>
      </c>
      <c r="BY13" s="129">
        <f t="shared" si="149"/>
        <v>0</v>
      </c>
      <c r="BZ13" s="78" t="s">
        <v>8</v>
      </c>
      <c r="CA13" s="31" t="s">
        <v>8</v>
      </c>
      <c r="CB13" s="36">
        <f t="shared" si="150"/>
        <v>0.37265451030384633</v>
      </c>
      <c r="CC13" s="34">
        <f t="shared" si="151"/>
        <v>9.0726534428805961E-2</v>
      </c>
      <c r="CD13" s="55">
        <f t="shared" si="152"/>
        <v>2531490.1214901484</v>
      </c>
      <c r="CE13" s="129">
        <f t="shared" si="153"/>
        <v>0</v>
      </c>
      <c r="CF13" s="78" t="s">
        <v>8</v>
      </c>
      <c r="CG13" s="31" t="s">
        <v>8</v>
      </c>
      <c r="CH13" s="36">
        <f t="shared" si="154"/>
        <v>0.37265451030384633</v>
      </c>
      <c r="CI13" s="34">
        <f t="shared" si="155"/>
        <v>9.0726534428805961E-2</v>
      </c>
      <c r="CJ13" s="55">
        <f t="shared" si="156"/>
        <v>2531490.1214901484</v>
      </c>
      <c r="CK13" s="129">
        <f t="shared" si="157"/>
        <v>0</v>
      </c>
      <c r="CL13" s="78" t="s">
        <v>8</v>
      </c>
      <c r="CM13" s="31" t="s">
        <v>8</v>
      </c>
      <c r="CN13" s="36">
        <f t="shared" si="158"/>
        <v>0.37265451030384633</v>
      </c>
      <c r="CO13" s="34">
        <f t="shared" si="159"/>
        <v>9.0726534428805961E-2</v>
      </c>
      <c r="CP13" s="55">
        <f t="shared" si="160"/>
        <v>2531490.1214901484</v>
      </c>
      <c r="CQ13" s="129">
        <f t="shared" si="161"/>
        <v>0</v>
      </c>
      <c r="CR13" s="78" t="s">
        <v>8</v>
      </c>
      <c r="CS13" s="31" t="s">
        <v>8</v>
      </c>
      <c r="CT13" s="36">
        <f t="shared" si="162"/>
        <v>0.37265451030384633</v>
      </c>
      <c r="CU13" s="34">
        <f t="shared" si="163"/>
        <v>9.0726534428805961E-2</v>
      </c>
      <c r="CV13" s="55">
        <f t="shared" si="164"/>
        <v>2531490.1214901484</v>
      </c>
      <c r="CW13" s="129">
        <f t="shared" si="165"/>
        <v>0</v>
      </c>
      <c r="CX13" s="78" t="s">
        <v>8</v>
      </c>
      <c r="CY13" s="31" t="s">
        <v>8</v>
      </c>
      <c r="CZ13" s="36">
        <f t="shared" si="166"/>
        <v>0.37265451030384633</v>
      </c>
      <c r="DA13" s="34">
        <f t="shared" si="167"/>
        <v>9.0726534428805961E-2</v>
      </c>
      <c r="DB13" s="55">
        <f t="shared" si="168"/>
        <v>2531490.1214901484</v>
      </c>
      <c r="DC13" s="129">
        <f t="shared" si="169"/>
        <v>0</v>
      </c>
      <c r="DD13" s="78" t="s">
        <v>8</v>
      </c>
      <c r="DE13" s="31" t="s">
        <v>8</v>
      </c>
      <c r="DF13" s="36">
        <f t="shared" si="170"/>
        <v>0.37265451030384633</v>
      </c>
      <c r="DG13" s="34">
        <f t="shared" si="171"/>
        <v>9.0726534428805961E-2</v>
      </c>
      <c r="DH13" s="55">
        <f t="shared" si="172"/>
        <v>2531490.1214901484</v>
      </c>
      <c r="DI13" s="129">
        <f t="shared" si="173"/>
        <v>0</v>
      </c>
      <c r="DJ13" s="78" t="s">
        <v>8</v>
      </c>
      <c r="DK13" s="31" t="s">
        <v>8</v>
      </c>
      <c r="DL13" s="36">
        <f t="shared" si="174"/>
        <v>0.37265451030384633</v>
      </c>
      <c r="DM13" s="34">
        <f t="shared" si="175"/>
        <v>9.0726534428805961E-2</v>
      </c>
      <c r="DN13" s="55">
        <f t="shared" si="176"/>
        <v>2531490.1214901484</v>
      </c>
      <c r="DO13" s="129">
        <f t="shared" si="177"/>
        <v>0</v>
      </c>
      <c r="DP13" s="78" t="s">
        <v>8</v>
      </c>
      <c r="DQ13" s="31" t="s">
        <v>8</v>
      </c>
      <c r="DR13" s="36">
        <f t="shared" si="178"/>
        <v>0.37265451030384633</v>
      </c>
      <c r="DS13" s="34">
        <f t="shared" si="179"/>
        <v>9.0726534428805961E-2</v>
      </c>
      <c r="DT13" s="55">
        <f t="shared" si="180"/>
        <v>2531490.1214901484</v>
      </c>
      <c r="DU13" s="129">
        <f t="shared" si="181"/>
        <v>0</v>
      </c>
      <c r="DV13" s="78" t="s">
        <v>8</v>
      </c>
      <c r="DW13" s="31" t="s">
        <v>8</v>
      </c>
      <c r="DX13" s="36">
        <f t="shared" si="182"/>
        <v>0.37265451030384633</v>
      </c>
      <c r="DY13" s="34">
        <f t="shared" si="183"/>
        <v>9.0726534428805961E-2</v>
      </c>
      <c r="DZ13" s="35">
        <f t="shared" si="184"/>
        <v>2531490.1214901484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0.37265451030384633</v>
      </c>
      <c r="EE13" s="34">
        <f t="shared" si="187"/>
        <v>9.0726534428805961E-2</v>
      </c>
      <c r="EF13" s="35">
        <f t="shared" si="188"/>
        <v>2531490.1214901484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0.37265451030384633</v>
      </c>
      <c r="EK13" s="34">
        <f t="shared" si="191"/>
        <v>9.0726534428805961E-2</v>
      </c>
      <c r="EL13" s="35">
        <f t="shared" si="192"/>
        <v>2531490.1214901484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0.37265451030384633</v>
      </c>
      <c r="EQ13" s="34">
        <f t="shared" si="195"/>
        <v>9.0726534428805961E-2</v>
      </c>
      <c r="ER13" s="35">
        <f t="shared" si="196"/>
        <v>2531490.1214901484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0.37265451030384633</v>
      </c>
      <c r="EW13" s="34">
        <f t="shared" si="199"/>
        <v>9.0726534428805961E-2</v>
      </c>
      <c r="EX13" s="35">
        <f t="shared" si="200"/>
        <v>2531490.1214901484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0.37265451030384633</v>
      </c>
      <c r="FC13" s="34">
        <f t="shared" si="203"/>
        <v>9.0726534428805961E-2</v>
      </c>
      <c r="FD13" s="35">
        <f t="shared" si="204"/>
        <v>2531490.1214901484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0.37265451030384633</v>
      </c>
      <c r="FI13" s="34">
        <f t="shared" si="207"/>
        <v>9.0726534428805961E-2</v>
      </c>
      <c r="FJ13" s="35">
        <f t="shared" si="208"/>
        <v>2531490.1214901484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0.37265451030384633</v>
      </c>
      <c r="FO13" s="34">
        <f t="shared" si="211"/>
        <v>9.0726534428805961E-2</v>
      </c>
      <c r="FP13" s="35">
        <f t="shared" si="212"/>
        <v>2531490.1214901484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0.37265451030384633</v>
      </c>
      <c r="FU13" s="34">
        <f t="shared" si="215"/>
        <v>9.0726534428805961E-2</v>
      </c>
      <c r="FV13" s="35">
        <f t="shared" si="216"/>
        <v>2531490.1214901484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0.37265451030384633</v>
      </c>
      <c r="GA13" s="34">
        <f t="shared" si="219"/>
        <v>9.0726534428805961E-2</v>
      </c>
      <c r="GB13" s="35">
        <f t="shared" si="220"/>
        <v>2531490.1214901484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0.37265451030384633</v>
      </c>
      <c r="GG13" s="34">
        <f t="shared" si="223"/>
        <v>9.0726534428805961E-2</v>
      </c>
      <c r="GH13" s="35">
        <f t="shared" si="224"/>
        <v>2531490.1214901484</v>
      </c>
      <c r="GI13" s="129">
        <f t="shared" si="225"/>
        <v>0</v>
      </c>
      <c r="GJ13" s="159">
        <f t="shared" si="228"/>
        <v>1490587.7201749508</v>
      </c>
      <c r="GK13" s="101">
        <f t="shared" si="226"/>
        <v>3556930.2879357608</v>
      </c>
      <c r="GL13" s="88">
        <f t="shared" si="227"/>
        <v>0.37265451030384639</v>
      </c>
    </row>
    <row r="14" spans="1:194" s="26" customFormat="1" ht="31.5" x14ac:dyDescent="0.2">
      <c r="A14" s="176" t="s">
        <v>178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2554</v>
      </c>
      <c r="H14" s="32">
        <f>'Исходные данные'!D16</f>
        <v>2445193</v>
      </c>
      <c r="I14" s="33">
        <f>'Расчет КРП'!G12</f>
        <v>6.5241909761841166</v>
      </c>
      <c r="J14" s="117" t="s">
        <v>8</v>
      </c>
      <c r="K14" s="121">
        <f t="shared" si="104"/>
        <v>0.14941972634848527</v>
      </c>
      <c r="L14" s="79">
        <f t="shared" si="105"/>
        <v>2737260.8496167571</v>
      </c>
      <c r="M14" s="75">
        <f t="shared" si="106"/>
        <v>0.3166870001768326</v>
      </c>
      <c r="N14" s="31" t="s">
        <v>8</v>
      </c>
      <c r="O14" s="34">
        <f t="shared" si="107"/>
        <v>9.6128342508233766E-2</v>
      </c>
      <c r="P14" s="35">
        <f t="shared" si="108"/>
        <v>3289800.792625166</v>
      </c>
      <c r="Q14" s="82">
        <f t="shared" si="109"/>
        <v>1193556.1958993697</v>
      </c>
      <c r="R14" s="152" t="s">
        <v>8</v>
      </c>
      <c r="S14" s="31" t="s">
        <v>8</v>
      </c>
      <c r="T14" s="36">
        <f t="shared" si="110"/>
        <v>0.38962228183878028</v>
      </c>
      <c r="U14" s="34">
        <f t="shared" si="111"/>
        <v>7.375876289387201E-2</v>
      </c>
      <c r="V14" s="55">
        <f t="shared" si="112"/>
        <v>2853550.1508039534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0.38962228183878028</v>
      </c>
      <c r="AA14" s="34">
        <f t="shared" si="115"/>
        <v>7.375876289387201E-2</v>
      </c>
      <c r="AB14" s="55">
        <f t="shared" si="116"/>
        <v>2853550.1508039534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0.38962228183878028</v>
      </c>
      <c r="AG14" s="34">
        <f t="shared" si="119"/>
        <v>7.375876289387201E-2</v>
      </c>
      <c r="AH14" s="55">
        <f t="shared" si="120"/>
        <v>2853550.1508039534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0.38962228183878028</v>
      </c>
      <c r="AM14" s="34">
        <f t="shared" si="123"/>
        <v>7.375876289387201E-2</v>
      </c>
      <c r="AN14" s="55">
        <f t="shared" si="124"/>
        <v>2853550.1508039534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0.38962228183878028</v>
      </c>
      <c r="AS14" s="34">
        <f t="shared" si="127"/>
        <v>7.375876289387201E-2</v>
      </c>
      <c r="AT14" s="55">
        <f t="shared" si="128"/>
        <v>2853550.1508039534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0.38962228183878028</v>
      </c>
      <c r="AY14" s="34">
        <f t="shared" si="131"/>
        <v>7.375876289387201E-2</v>
      </c>
      <c r="AZ14" s="55">
        <f t="shared" si="132"/>
        <v>2853550.1508039534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0.38962228183878028</v>
      </c>
      <c r="BE14" s="34">
        <f t="shared" si="135"/>
        <v>7.375876289387201E-2</v>
      </c>
      <c r="BF14" s="55">
        <f t="shared" si="136"/>
        <v>2853550.1508039534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0.38962228183878028</v>
      </c>
      <c r="BK14" s="34">
        <f t="shared" si="139"/>
        <v>7.375876289387201E-2</v>
      </c>
      <c r="BL14" s="55">
        <f t="shared" si="140"/>
        <v>2853550.1508039534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0.38962228183878028</v>
      </c>
      <c r="BQ14" s="34">
        <f t="shared" si="143"/>
        <v>7.375876289387201E-2</v>
      </c>
      <c r="BR14" s="55">
        <f t="shared" si="144"/>
        <v>2853550.1508039534</v>
      </c>
      <c r="BS14" s="129">
        <f t="shared" si="145"/>
        <v>0</v>
      </c>
      <c r="BT14" s="78" t="s">
        <v>8</v>
      </c>
      <c r="BU14" s="31" t="s">
        <v>8</v>
      </c>
      <c r="BV14" s="36">
        <f t="shared" si="146"/>
        <v>0.38962228183878028</v>
      </c>
      <c r="BW14" s="34">
        <f t="shared" si="147"/>
        <v>7.375876289387201E-2</v>
      </c>
      <c r="BX14" s="55">
        <f t="shared" si="148"/>
        <v>2853550.1508039534</v>
      </c>
      <c r="BY14" s="129">
        <f t="shared" si="149"/>
        <v>0</v>
      </c>
      <c r="BZ14" s="78" t="s">
        <v>8</v>
      </c>
      <c r="CA14" s="31" t="s">
        <v>8</v>
      </c>
      <c r="CB14" s="36">
        <f t="shared" si="150"/>
        <v>0.38962228183878028</v>
      </c>
      <c r="CC14" s="34">
        <f t="shared" si="151"/>
        <v>7.375876289387201E-2</v>
      </c>
      <c r="CD14" s="55">
        <f t="shared" si="152"/>
        <v>2853550.1508039534</v>
      </c>
      <c r="CE14" s="129">
        <f t="shared" si="153"/>
        <v>0</v>
      </c>
      <c r="CF14" s="78" t="s">
        <v>8</v>
      </c>
      <c r="CG14" s="31" t="s">
        <v>8</v>
      </c>
      <c r="CH14" s="36">
        <f t="shared" si="154"/>
        <v>0.38962228183878028</v>
      </c>
      <c r="CI14" s="34">
        <f t="shared" si="155"/>
        <v>7.375876289387201E-2</v>
      </c>
      <c r="CJ14" s="55">
        <f t="shared" si="156"/>
        <v>2853550.1508039534</v>
      </c>
      <c r="CK14" s="129">
        <f t="shared" si="157"/>
        <v>0</v>
      </c>
      <c r="CL14" s="78" t="s">
        <v>8</v>
      </c>
      <c r="CM14" s="31" t="s">
        <v>8</v>
      </c>
      <c r="CN14" s="36">
        <f t="shared" si="158"/>
        <v>0.38962228183878028</v>
      </c>
      <c r="CO14" s="34">
        <f t="shared" si="159"/>
        <v>7.375876289387201E-2</v>
      </c>
      <c r="CP14" s="55">
        <f t="shared" si="160"/>
        <v>2853550.1508039534</v>
      </c>
      <c r="CQ14" s="129">
        <f t="shared" si="161"/>
        <v>0</v>
      </c>
      <c r="CR14" s="78" t="s">
        <v>8</v>
      </c>
      <c r="CS14" s="31" t="s">
        <v>8</v>
      </c>
      <c r="CT14" s="36">
        <f t="shared" si="162"/>
        <v>0.38962228183878028</v>
      </c>
      <c r="CU14" s="34">
        <f t="shared" si="163"/>
        <v>7.375876289387201E-2</v>
      </c>
      <c r="CV14" s="55">
        <f t="shared" si="164"/>
        <v>2853550.1508039534</v>
      </c>
      <c r="CW14" s="129">
        <f t="shared" si="165"/>
        <v>0</v>
      </c>
      <c r="CX14" s="78" t="s">
        <v>8</v>
      </c>
      <c r="CY14" s="31" t="s">
        <v>8</v>
      </c>
      <c r="CZ14" s="36">
        <f t="shared" si="166"/>
        <v>0.38962228183878028</v>
      </c>
      <c r="DA14" s="34">
        <f t="shared" si="167"/>
        <v>7.375876289387201E-2</v>
      </c>
      <c r="DB14" s="55">
        <f t="shared" si="168"/>
        <v>2853550.1508039534</v>
      </c>
      <c r="DC14" s="129">
        <f t="shared" si="169"/>
        <v>0</v>
      </c>
      <c r="DD14" s="78" t="s">
        <v>8</v>
      </c>
      <c r="DE14" s="31" t="s">
        <v>8</v>
      </c>
      <c r="DF14" s="36">
        <f t="shared" si="170"/>
        <v>0.38962228183878028</v>
      </c>
      <c r="DG14" s="34">
        <f t="shared" si="171"/>
        <v>7.375876289387201E-2</v>
      </c>
      <c r="DH14" s="55">
        <f t="shared" si="172"/>
        <v>2853550.1508039534</v>
      </c>
      <c r="DI14" s="129">
        <f t="shared" si="173"/>
        <v>0</v>
      </c>
      <c r="DJ14" s="78" t="s">
        <v>8</v>
      </c>
      <c r="DK14" s="31" t="s">
        <v>8</v>
      </c>
      <c r="DL14" s="36">
        <f t="shared" si="174"/>
        <v>0.38962228183878028</v>
      </c>
      <c r="DM14" s="34">
        <f t="shared" si="175"/>
        <v>7.375876289387201E-2</v>
      </c>
      <c r="DN14" s="55">
        <f t="shared" si="176"/>
        <v>2853550.1508039534</v>
      </c>
      <c r="DO14" s="129">
        <f t="shared" si="177"/>
        <v>0</v>
      </c>
      <c r="DP14" s="78" t="s">
        <v>8</v>
      </c>
      <c r="DQ14" s="31" t="s">
        <v>8</v>
      </c>
      <c r="DR14" s="36">
        <f t="shared" si="178"/>
        <v>0.38962228183878028</v>
      </c>
      <c r="DS14" s="34">
        <f t="shared" si="179"/>
        <v>7.375876289387201E-2</v>
      </c>
      <c r="DT14" s="55">
        <f t="shared" si="180"/>
        <v>2853550.1508039534</v>
      </c>
      <c r="DU14" s="129">
        <f t="shared" si="181"/>
        <v>0</v>
      </c>
      <c r="DV14" s="78" t="s">
        <v>8</v>
      </c>
      <c r="DW14" s="31" t="s">
        <v>8</v>
      </c>
      <c r="DX14" s="36">
        <f t="shared" si="182"/>
        <v>0.38962228183878028</v>
      </c>
      <c r="DY14" s="34">
        <f t="shared" si="183"/>
        <v>7.375876289387201E-2</v>
      </c>
      <c r="DZ14" s="35">
        <f t="shared" si="184"/>
        <v>2853550.1508039534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0.38962228183878028</v>
      </c>
      <c r="EE14" s="34">
        <f t="shared" si="187"/>
        <v>7.375876289387201E-2</v>
      </c>
      <c r="EF14" s="35">
        <f t="shared" si="188"/>
        <v>2853550.1508039534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0.38962228183878028</v>
      </c>
      <c r="EK14" s="34">
        <f t="shared" si="191"/>
        <v>7.375876289387201E-2</v>
      </c>
      <c r="EL14" s="35">
        <f t="shared" si="192"/>
        <v>2853550.1508039534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0.38962228183878028</v>
      </c>
      <c r="EQ14" s="34">
        <f t="shared" si="195"/>
        <v>7.375876289387201E-2</v>
      </c>
      <c r="ER14" s="35">
        <f t="shared" si="196"/>
        <v>2853550.1508039534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0.38962228183878028</v>
      </c>
      <c r="EW14" s="34">
        <f t="shared" si="199"/>
        <v>7.375876289387201E-2</v>
      </c>
      <c r="EX14" s="35">
        <f t="shared" si="200"/>
        <v>2853550.1508039534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0.38962228183878028</v>
      </c>
      <c r="FC14" s="34">
        <f t="shared" si="203"/>
        <v>7.375876289387201E-2</v>
      </c>
      <c r="FD14" s="35">
        <f t="shared" si="204"/>
        <v>2853550.1508039534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0.38962228183878028</v>
      </c>
      <c r="FI14" s="34">
        <f t="shared" si="207"/>
        <v>7.375876289387201E-2</v>
      </c>
      <c r="FJ14" s="35">
        <f t="shared" si="208"/>
        <v>2853550.1508039534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0.38962228183878028</v>
      </c>
      <c r="FO14" s="34">
        <f t="shared" si="211"/>
        <v>7.375876289387201E-2</v>
      </c>
      <c r="FP14" s="35">
        <f t="shared" si="212"/>
        <v>2853550.1508039534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0.38962228183878028</v>
      </c>
      <c r="FU14" s="34">
        <f t="shared" si="215"/>
        <v>7.375876289387201E-2</v>
      </c>
      <c r="FV14" s="35">
        <f t="shared" si="216"/>
        <v>2853550.1508039534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0.38962228183878028</v>
      </c>
      <c r="GA14" s="34">
        <f t="shared" si="219"/>
        <v>7.375876289387201E-2</v>
      </c>
      <c r="GB14" s="35">
        <f t="shared" si="220"/>
        <v>2853550.1508039534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0.38962228183878028</v>
      </c>
      <c r="GG14" s="34">
        <f t="shared" si="223"/>
        <v>7.375876289387201E-2</v>
      </c>
      <c r="GH14" s="35">
        <f t="shared" si="224"/>
        <v>2853550.1508039534</v>
      </c>
      <c r="GI14" s="129">
        <f t="shared" si="225"/>
        <v>0</v>
      </c>
      <c r="GJ14" s="159">
        <f t="shared" si="228"/>
        <v>1193556.1958993697</v>
      </c>
      <c r="GK14" s="101">
        <f t="shared" si="226"/>
        <v>3930817.0455161268</v>
      </c>
      <c r="GL14" s="88">
        <f t="shared" si="227"/>
        <v>0.38962228183878034</v>
      </c>
    </row>
    <row r="15" spans="1:194" s="26" customFormat="1" x14ac:dyDescent="0.2">
      <c r="A15" s="176" t="s">
        <v>179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6684</v>
      </c>
      <c r="H15" s="32">
        <f>'Исходные данные'!D17</f>
        <v>7686083</v>
      </c>
      <c r="I15" s="33">
        <f>'Расчет КРП'!G13</f>
        <v>5.0373624605593648</v>
      </c>
      <c r="J15" s="117" t="s">
        <v>8</v>
      </c>
      <c r="K15" s="121">
        <f t="shared" si="104"/>
        <v>0.23243834706132865</v>
      </c>
      <c r="L15" s="79">
        <f t="shared" si="105"/>
        <v>7163606.7027558358</v>
      </c>
      <c r="M15" s="75">
        <f t="shared" si="106"/>
        <v>0.44907624974674343</v>
      </c>
      <c r="N15" s="31" t="s">
        <v>8</v>
      </c>
      <c r="O15" s="34">
        <f t="shared" si="107"/>
        <v>-3.6260907061677061E-2</v>
      </c>
      <c r="P15" s="35">
        <f t="shared" si="108"/>
        <v>0</v>
      </c>
      <c r="Q15" s="82">
        <f t="shared" si="109"/>
        <v>0</v>
      </c>
      <c r="R15" s="152" t="s">
        <v>8</v>
      </c>
      <c r="S15" s="31" t="s">
        <v>8</v>
      </c>
      <c r="T15" s="36">
        <f t="shared" si="110"/>
        <v>0.44907624974674343</v>
      </c>
      <c r="U15" s="34">
        <f t="shared" si="111"/>
        <v>1.4304794985908864E-2</v>
      </c>
      <c r="V15" s="55">
        <f t="shared" si="112"/>
        <v>1118267.2548526688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0.44907624974674343</v>
      </c>
      <c r="AA15" s="34">
        <f t="shared" si="115"/>
        <v>1.4304794985908864E-2</v>
      </c>
      <c r="AB15" s="55">
        <f t="shared" si="116"/>
        <v>1118267.2548526688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0.44907624974674343</v>
      </c>
      <c r="AG15" s="34">
        <f t="shared" si="119"/>
        <v>1.4304794985908864E-2</v>
      </c>
      <c r="AH15" s="55">
        <f t="shared" si="120"/>
        <v>1118267.2548526688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0.44907624974674343</v>
      </c>
      <c r="AM15" s="34">
        <f t="shared" si="123"/>
        <v>1.4304794985908864E-2</v>
      </c>
      <c r="AN15" s="55">
        <f t="shared" si="124"/>
        <v>1118267.2548526688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0.44907624974674343</v>
      </c>
      <c r="AS15" s="34">
        <f t="shared" si="127"/>
        <v>1.4304794985908864E-2</v>
      </c>
      <c r="AT15" s="55">
        <f t="shared" si="128"/>
        <v>1118267.2548526688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0.44907624974674343</v>
      </c>
      <c r="AY15" s="34">
        <f t="shared" si="131"/>
        <v>1.4304794985908864E-2</v>
      </c>
      <c r="AZ15" s="55">
        <f t="shared" si="132"/>
        <v>1118267.2548526688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0.44907624974674343</v>
      </c>
      <c r="BE15" s="34">
        <f t="shared" si="135"/>
        <v>1.4304794985908864E-2</v>
      </c>
      <c r="BF15" s="55">
        <f t="shared" si="136"/>
        <v>1118267.2548526688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0.44907624974674343</v>
      </c>
      <c r="BK15" s="34">
        <f t="shared" si="139"/>
        <v>1.4304794985908864E-2</v>
      </c>
      <c r="BL15" s="55">
        <f t="shared" si="140"/>
        <v>1118267.2548526688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0.44907624974674343</v>
      </c>
      <c r="BQ15" s="34">
        <f t="shared" si="143"/>
        <v>1.4304794985908864E-2</v>
      </c>
      <c r="BR15" s="55">
        <f t="shared" si="144"/>
        <v>1118267.2548526688</v>
      </c>
      <c r="BS15" s="129">
        <f t="shared" si="145"/>
        <v>0</v>
      </c>
      <c r="BT15" s="78" t="s">
        <v>8</v>
      </c>
      <c r="BU15" s="31" t="s">
        <v>8</v>
      </c>
      <c r="BV15" s="36">
        <f t="shared" si="146"/>
        <v>0.44907624974674343</v>
      </c>
      <c r="BW15" s="34">
        <f t="shared" si="147"/>
        <v>1.4304794985908864E-2</v>
      </c>
      <c r="BX15" s="55">
        <f t="shared" si="148"/>
        <v>1118267.2548526688</v>
      </c>
      <c r="BY15" s="129">
        <f t="shared" si="149"/>
        <v>0</v>
      </c>
      <c r="BZ15" s="78" t="s">
        <v>8</v>
      </c>
      <c r="CA15" s="31" t="s">
        <v>8</v>
      </c>
      <c r="CB15" s="36">
        <f t="shared" si="150"/>
        <v>0.44907624974674343</v>
      </c>
      <c r="CC15" s="34">
        <f t="shared" si="151"/>
        <v>1.4304794985908864E-2</v>
      </c>
      <c r="CD15" s="55">
        <f t="shared" si="152"/>
        <v>1118267.2548526688</v>
      </c>
      <c r="CE15" s="129">
        <f t="shared" si="153"/>
        <v>0</v>
      </c>
      <c r="CF15" s="78" t="s">
        <v>8</v>
      </c>
      <c r="CG15" s="31" t="s">
        <v>8</v>
      </c>
      <c r="CH15" s="36">
        <f t="shared" si="154"/>
        <v>0.44907624974674343</v>
      </c>
      <c r="CI15" s="34">
        <f t="shared" si="155"/>
        <v>1.4304794985908864E-2</v>
      </c>
      <c r="CJ15" s="55">
        <f t="shared" si="156"/>
        <v>1118267.2548526688</v>
      </c>
      <c r="CK15" s="129">
        <f t="shared" si="157"/>
        <v>0</v>
      </c>
      <c r="CL15" s="78" t="s">
        <v>8</v>
      </c>
      <c r="CM15" s="31" t="s">
        <v>8</v>
      </c>
      <c r="CN15" s="36">
        <f t="shared" si="158"/>
        <v>0.44907624974674343</v>
      </c>
      <c r="CO15" s="34">
        <f t="shared" si="159"/>
        <v>1.4304794985908864E-2</v>
      </c>
      <c r="CP15" s="55">
        <f t="shared" si="160"/>
        <v>1118267.2548526688</v>
      </c>
      <c r="CQ15" s="129">
        <f t="shared" si="161"/>
        <v>0</v>
      </c>
      <c r="CR15" s="78" t="s">
        <v>8</v>
      </c>
      <c r="CS15" s="31" t="s">
        <v>8</v>
      </c>
      <c r="CT15" s="36">
        <f t="shared" si="162"/>
        <v>0.44907624974674343</v>
      </c>
      <c r="CU15" s="34">
        <f t="shared" si="163"/>
        <v>1.4304794985908864E-2</v>
      </c>
      <c r="CV15" s="55">
        <f t="shared" si="164"/>
        <v>1118267.2548526688</v>
      </c>
      <c r="CW15" s="129">
        <f t="shared" si="165"/>
        <v>0</v>
      </c>
      <c r="CX15" s="78" t="s">
        <v>8</v>
      </c>
      <c r="CY15" s="31" t="s">
        <v>8</v>
      </c>
      <c r="CZ15" s="36">
        <f t="shared" si="166"/>
        <v>0.44907624974674343</v>
      </c>
      <c r="DA15" s="34">
        <f t="shared" si="167"/>
        <v>1.4304794985908864E-2</v>
      </c>
      <c r="DB15" s="55">
        <f t="shared" si="168"/>
        <v>1118267.2548526688</v>
      </c>
      <c r="DC15" s="129">
        <f t="shared" si="169"/>
        <v>0</v>
      </c>
      <c r="DD15" s="78" t="s">
        <v>8</v>
      </c>
      <c r="DE15" s="31" t="s">
        <v>8</v>
      </c>
      <c r="DF15" s="36">
        <f t="shared" si="170"/>
        <v>0.44907624974674343</v>
      </c>
      <c r="DG15" s="34">
        <f t="shared" si="171"/>
        <v>1.4304794985908864E-2</v>
      </c>
      <c r="DH15" s="55">
        <f t="shared" si="172"/>
        <v>1118267.2548526688</v>
      </c>
      <c r="DI15" s="129">
        <f t="shared" si="173"/>
        <v>0</v>
      </c>
      <c r="DJ15" s="78" t="s">
        <v>8</v>
      </c>
      <c r="DK15" s="31" t="s">
        <v>8</v>
      </c>
      <c r="DL15" s="36">
        <f t="shared" si="174"/>
        <v>0.44907624974674343</v>
      </c>
      <c r="DM15" s="34">
        <f t="shared" si="175"/>
        <v>1.4304794985908864E-2</v>
      </c>
      <c r="DN15" s="55">
        <f t="shared" si="176"/>
        <v>1118267.2548526688</v>
      </c>
      <c r="DO15" s="129">
        <f t="shared" si="177"/>
        <v>0</v>
      </c>
      <c r="DP15" s="78" t="s">
        <v>8</v>
      </c>
      <c r="DQ15" s="31" t="s">
        <v>8</v>
      </c>
      <c r="DR15" s="36">
        <f t="shared" si="178"/>
        <v>0.44907624974674343</v>
      </c>
      <c r="DS15" s="34">
        <f t="shared" si="179"/>
        <v>1.4304794985908864E-2</v>
      </c>
      <c r="DT15" s="55">
        <f t="shared" si="180"/>
        <v>1118267.2548526688</v>
      </c>
      <c r="DU15" s="129">
        <f t="shared" si="181"/>
        <v>0</v>
      </c>
      <c r="DV15" s="78" t="s">
        <v>8</v>
      </c>
      <c r="DW15" s="31" t="s">
        <v>8</v>
      </c>
      <c r="DX15" s="36">
        <f t="shared" si="182"/>
        <v>0.44907624974674343</v>
      </c>
      <c r="DY15" s="34">
        <f t="shared" si="183"/>
        <v>1.4304794985908864E-2</v>
      </c>
      <c r="DZ15" s="35">
        <f t="shared" si="184"/>
        <v>1118267.2548526688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0.44907624974674343</v>
      </c>
      <c r="EE15" s="34">
        <f t="shared" si="187"/>
        <v>1.4304794985908864E-2</v>
      </c>
      <c r="EF15" s="35">
        <f t="shared" si="188"/>
        <v>1118267.2548526688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0.44907624974674343</v>
      </c>
      <c r="EK15" s="34">
        <f t="shared" si="191"/>
        <v>1.4304794985908864E-2</v>
      </c>
      <c r="EL15" s="35">
        <f t="shared" si="192"/>
        <v>1118267.2548526688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0.44907624974674343</v>
      </c>
      <c r="EQ15" s="34">
        <f t="shared" si="195"/>
        <v>1.4304794985908864E-2</v>
      </c>
      <c r="ER15" s="35">
        <f t="shared" si="196"/>
        <v>1118267.2548526688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0.44907624974674343</v>
      </c>
      <c r="EW15" s="34">
        <f t="shared" si="199"/>
        <v>1.4304794985908864E-2</v>
      </c>
      <c r="EX15" s="35">
        <f t="shared" si="200"/>
        <v>1118267.2548526688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0.44907624974674343</v>
      </c>
      <c r="FC15" s="34">
        <f t="shared" si="203"/>
        <v>1.4304794985908864E-2</v>
      </c>
      <c r="FD15" s="35">
        <f t="shared" si="204"/>
        <v>1118267.2548526688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0.44907624974674343</v>
      </c>
      <c r="FI15" s="34">
        <f t="shared" si="207"/>
        <v>1.4304794985908864E-2</v>
      </c>
      <c r="FJ15" s="35">
        <f t="shared" si="208"/>
        <v>1118267.2548526688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0.44907624974674343</v>
      </c>
      <c r="FO15" s="34">
        <f t="shared" si="211"/>
        <v>1.4304794985908864E-2</v>
      </c>
      <c r="FP15" s="35">
        <f t="shared" si="212"/>
        <v>1118267.2548526688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0.44907624974674343</v>
      </c>
      <c r="FU15" s="34">
        <f t="shared" si="215"/>
        <v>1.4304794985908864E-2</v>
      </c>
      <c r="FV15" s="35">
        <f t="shared" si="216"/>
        <v>1118267.2548526688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0.44907624974674343</v>
      </c>
      <c r="GA15" s="34">
        <f t="shared" si="219"/>
        <v>1.4304794985908864E-2</v>
      </c>
      <c r="GB15" s="35">
        <f t="shared" si="220"/>
        <v>1118267.2548526688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0.44907624974674343</v>
      </c>
      <c r="GG15" s="34">
        <f t="shared" si="223"/>
        <v>1.4304794985908864E-2</v>
      </c>
      <c r="GH15" s="35">
        <f t="shared" si="224"/>
        <v>1118267.2548526688</v>
      </c>
      <c r="GI15" s="129">
        <f t="shared" si="225"/>
        <v>0</v>
      </c>
      <c r="GJ15" s="159">
        <f t="shared" si="228"/>
        <v>0</v>
      </c>
      <c r="GK15" s="101">
        <f t="shared" si="226"/>
        <v>7163606.7027558358</v>
      </c>
      <c r="GL15" s="88">
        <f t="shared" si="227"/>
        <v>0.44907624974674348</v>
      </c>
    </row>
    <row r="16" spans="1:194" s="26" customFormat="1" x14ac:dyDescent="0.2">
      <c r="A16" s="176" t="s">
        <v>180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1177</v>
      </c>
      <c r="H16" s="32">
        <f>'Исходные данные'!D18</f>
        <v>928828</v>
      </c>
      <c r="I16" s="33">
        <f>'Расчет КРП'!G14</f>
        <v>6.6429196681422376</v>
      </c>
      <c r="J16" s="117" t="s">
        <v>8</v>
      </c>
      <c r="K16" s="121">
        <f t="shared" si="104"/>
        <v>0.12096011373546725</v>
      </c>
      <c r="L16" s="79">
        <f t="shared" si="105"/>
        <v>1261454.9804224444</v>
      </c>
      <c r="M16" s="75">
        <f t="shared" si="106"/>
        <v>0.28523782489842803</v>
      </c>
      <c r="N16" s="31" t="s">
        <v>8</v>
      </c>
      <c r="O16" s="34">
        <f t="shared" si="107"/>
        <v>0.12757751778663834</v>
      </c>
      <c r="P16" s="35">
        <f t="shared" si="108"/>
        <v>2048708.6456619268</v>
      </c>
      <c r="Q16" s="82">
        <f t="shared" si="109"/>
        <v>743281.75222766644</v>
      </c>
      <c r="R16" s="152" t="s">
        <v>8</v>
      </c>
      <c r="S16" s="31" t="s">
        <v>8</v>
      </c>
      <c r="T16" s="36">
        <f t="shared" si="110"/>
        <v>0.38203448185424316</v>
      </c>
      <c r="U16" s="34">
        <f t="shared" si="111"/>
        <v>8.1346562878409134E-2</v>
      </c>
      <c r="V16" s="55">
        <f t="shared" si="112"/>
        <v>1476722.8618295821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0.38203448185424316</v>
      </c>
      <c r="AA16" s="34">
        <f t="shared" si="115"/>
        <v>8.1346562878409134E-2</v>
      </c>
      <c r="AB16" s="55">
        <f t="shared" si="116"/>
        <v>1476722.8618295821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0.38203448185424316</v>
      </c>
      <c r="AG16" s="34">
        <f t="shared" si="119"/>
        <v>8.1346562878409134E-2</v>
      </c>
      <c r="AH16" s="55">
        <f t="shared" si="120"/>
        <v>1476722.8618295821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0.38203448185424316</v>
      </c>
      <c r="AM16" s="34">
        <f t="shared" si="123"/>
        <v>8.1346562878409134E-2</v>
      </c>
      <c r="AN16" s="55">
        <f t="shared" si="124"/>
        <v>1476722.8618295821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0.38203448185424316</v>
      </c>
      <c r="AS16" s="34">
        <f t="shared" si="127"/>
        <v>8.1346562878409134E-2</v>
      </c>
      <c r="AT16" s="55">
        <f t="shared" si="128"/>
        <v>1476722.8618295821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0.38203448185424316</v>
      </c>
      <c r="AY16" s="34">
        <f t="shared" si="131"/>
        <v>8.1346562878409134E-2</v>
      </c>
      <c r="AZ16" s="55">
        <f t="shared" si="132"/>
        <v>1476722.8618295821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0.38203448185424316</v>
      </c>
      <c r="BE16" s="34">
        <f t="shared" si="135"/>
        <v>8.1346562878409134E-2</v>
      </c>
      <c r="BF16" s="55">
        <f t="shared" si="136"/>
        <v>1476722.8618295821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0.38203448185424316</v>
      </c>
      <c r="BK16" s="34">
        <f t="shared" si="139"/>
        <v>8.1346562878409134E-2</v>
      </c>
      <c r="BL16" s="55">
        <f t="shared" si="140"/>
        <v>1476722.8618295821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0.38203448185424316</v>
      </c>
      <c r="BQ16" s="34">
        <f t="shared" si="143"/>
        <v>8.1346562878409134E-2</v>
      </c>
      <c r="BR16" s="55">
        <f t="shared" si="144"/>
        <v>1476722.8618295821</v>
      </c>
      <c r="BS16" s="129">
        <f t="shared" si="145"/>
        <v>0</v>
      </c>
      <c r="BT16" s="78" t="s">
        <v>8</v>
      </c>
      <c r="BU16" s="31" t="s">
        <v>8</v>
      </c>
      <c r="BV16" s="36">
        <f t="shared" si="146"/>
        <v>0.38203448185424316</v>
      </c>
      <c r="BW16" s="34">
        <f t="shared" si="147"/>
        <v>8.1346562878409134E-2</v>
      </c>
      <c r="BX16" s="55">
        <f t="shared" si="148"/>
        <v>1476722.8618295821</v>
      </c>
      <c r="BY16" s="129">
        <f t="shared" si="149"/>
        <v>0</v>
      </c>
      <c r="BZ16" s="78" t="s">
        <v>8</v>
      </c>
      <c r="CA16" s="31" t="s">
        <v>8</v>
      </c>
      <c r="CB16" s="36">
        <f t="shared" si="150"/>
        <v>0.38203448185424316</v>
      </c>
      <c r="CC16" s="34">
        <f t="shared" si="151"/>
        <v>8.1346562878409134E-2</v>
      </c>
      <c r="CD16" s="55">
        <f t="shared" si="152"/>
        <v>1476722.8618295821</v>
      </c>
      <c r="CE16" s="129">
        <f t="shared" si="153"/>
        <v>0</v>
      </c>
      <c r="CF16" s="78" t="s">
        <v>8</v>
      </c>
      <c r="CG16" s="31" t="s">
        <v>8</v>
      </c>
      <c r="CH16" s="36">
        <f t="shared" si="154"/>
        <v>0.38203448185424316</v>
      </c>
      <c r="CI16" s="34">
        <f t="shared" si="155"/>
        <v>8.1346562878409134E-2</v>
      </c>
      <c r="CJ16" s="55">
        <f t="shared" si="156"/>
        <v>1476722.8618295821</v>
      </c>
      <c r="CK16" s="129">
        <f t="shared" si="157"/>
        <v>0</v>
      </c>
      <c r="CL16" s="78" t="s">
        <v>8</v>
      </c>
      <c r="CM16" s="31" t="s">
        <v>8</v>
      </c>
      <c r="CN16" s="36">
        <f t="shared" si="158"/>
        <v>0.38203448185424316</v>
      </c>
      <c r="CO16" s="34">
        <f t="shared" si="159"/>
        <v>8.1346562878409134E-2</v>
      </c>
      <c r="CP16" s="55">
        <f t="shared" si="160"/>
        <v>1476722.8618295821</v>
      </c>
      <c r="CQ16" s="129">
        <f t="shared" si="161"/>
        <v>0</v>
      </c>
      <c r="CR16" s="78" t="s">
        <v>8</v>
      </c>
      <c r="CS16" s="31" t="s">
        <v>8</v>
      </c>
      <c r="CT16" s="36">
        <f t="shared" si="162"/>
        <v>0.38203448185424316</v>
      </c>
      <c r="CU16" s="34">
        <f t="shared" si="163"/>
        <v>8.1346562878409134E-2</v>
      </c>
      <c r="CV16" s="55">
        <f t="shared" si="164"/>
        <v>1476722.8618295821</v>
      </c>
      <c r="CW16" s="129">
        <f t="shared" si="165"/>
        <v>0</v>
      </c>
      <c r="CX16" s="78" t="s">
        <v>8</v>
      </c>
      <c r="CY16" s="31" t="s">
        <v>8</v>
      </c>
      <c r="CZ16" s="36">
        <f t="shared" si="166"/>
        <v>0.38203448185424316</v>
      </c>
      <c r="DA16" s="34">
        <f t="shared" si="167"/>
        <v>8.1346562878409134E-2</v>
      </c>
      <c r="DB16" s="55">
        <f t="shared" si="168"/>
        <v>1476722.8618295821</v>
      </c>
      <c r="DC16" s="129">
        <f t="shared" si="169"/>
        <v>0</v>
      </c>
      <c r="DD16" s="78" t="s">
        <v>8</v>
      </c>
      <c r="DE16" s="31" t="s">
        <v>8</v>
      </c>
      <c r="DF16" s="36">
        <f t="shared" si="170"/>
        <v>0.38203448185424316</v>
      </c>
      <c r="DG16" s="34">
        <f t="shared" si="171"/>
        <v>8.1346562878409134E-2</v>
      </c>
      <c r="DH16" s="55">
        <f t="shared" si="172"/>
        <v>1476722.8618295821</v>
      </c>
      <c r="DI16" s="129">
        <f t="shared" si="173"/>
        <v>0</v>
      </c>
      <c r="DJ16" s="78" t="s">
        <v>8</v>
      </c>
      <c r="DK16" s="31" t="s">
        <v>8</v>
      </c>
      <c r="DL16" s="36">
        <f t="shared" si="174"/>
        <v>0.38203448185424316</v>
      </c>
      <c r="DM16" s="34">
        <f t="shared" si="175"/>
        <v>8.1346562878409134E-2</v>
      </c>
      <c r="DN16" s="55">
        <f t="shared" si="176"/>
        <v>1476722.8618295821</v>
      </c>
      <c r="DO16" s="129">
        <f t="shared" si="177"/>
        <v>0</v>
      </c>
      <c r="DP16" s="78" t="s">
        <v>8</v>
      </c>
      <c r="DQ16" s="31" t="s">
        <v>8</v>
      </c>
      <c r="DR16" s="36">
        <f t="shared" si="178"/>
        <v>0.38203448185424316</v>
      </c>
      <c r="DS16" s="34">
        <f t="shared" si="179"/>
        <v>8.1346562878409134E-2</v>
      </c>
      <c r="DT16" s="55">
        <f t="shared" si="180"/>
        <v>1476722.8618295821</v>
      </c>
      <c r="DU16" s="129">
        <f t="shared" si="181"/>
        <v>0</v>
      </c>
      <c r="DV16" s="78" t="s">
        <v>8</v>
      </c>
      <c r="DW16" s="31" t="s">
        <v>8</v>
      </c>
      <c r="DX16" s="36">
        <f t="shared" si="182"/>
        <v>0.38203448185424316</v>
      </c>
      <c r="DY16" s="34">
        <f t="shared" si="183"/>
        <v>8.1346562878409134E-2</v>
      </c>
      <c r="DZ16" s="35">
        <f t="shared" si="184"/>
        <v>1476722.8618295821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0.38203448185424316</v>
      </c>
      <c r="EE16" s="34">
        <f t="shared" si="187"/>
        <v>8.1346562878409134E-2</v>
      </c>
      <c r="EF16" s="35">
        <f t="shared" si="188"/>
        <v>1476722.8618295821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0.38203448185424316</v>
      </c>
      <c r="EK16" s="34">
        <f t="shared" si="191"/>
        <v>8.1346562878409134E-2</v>
      </c>
      <c r="EL16" s="35">
        <f t="shared" si="192"/>
        <v>1476722.8618295821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0.38203448185424316</v>
      </c>
      <c r="EQ16" s="34">
        <f t="shared" si="195"/>
        <v>8.1346562878409134E-2</v>
      </c>
      <c r="ER16" s="35">
        <f t="shared" si="196"/>
        <v>1476722.8618295821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0.38203448185424316</v>
      </c>
      <c r="EW16" s="34">
        <f t="shared" si="199"/>
        <v>8.1346562878409134E-2</v>
      </c>
      <c r="EX16" s="35">
        <f t="shared" si="200"/>
        <v>1476722.8618295821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0.38203448185424316</v>
      </c>
      <c r="FC16" s="34">
        <f t="shared" si="203"/>
        <v>8.1346562878409134E-2</v>
      </c>
      <c r="FD16" s="35">
        <f t="shared" si="204"/>
        <v>1476722.8618295821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0.38203448185424316</v>
      </c>
      <c r="FI16" s="34">
        <f t="shared" si="207"/>
        <v>8.1346562878409134E-2</v>
      </c>
      <c r="FJ16" s="35">
        <f t="shared" si="208"/>
        <v>1476722.8618295821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0.38203448185424316</v>
      </c>
      <c r="FO16" s="34">
        <f t="shared" si="211"/>
        <v>8.1346562878409134E-2</v>
      </c>
      <c r="FP16" s="35">
        <f t="shared" si="212"/>
        <v>1476722.8618295821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0.38203448185424316</v>
      </c>
      <c r="FU16" s="34">
        <f t="shared" si="215"/>
        <v>8.1346562878409134E-2</v>
      </c>
      <c r="FV16" s="35">
        <f t="shared" si="216"/>
        <v>1476722.8618295821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0.38203448185424316</v>
      </c>
      <c r="GA16" s="34">
        <f t="shared" si="219"/>
        <v>8.1346562878409134E-2</v>
      </c>
      <c r="GB16" s="35">
        <f t="shared" si="220"/>
        <v>1476722.8618295821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0.38203448185424316</v>
      </c>
      <c r="GG16" s="34">
        <f t="shared" si="223"/>
        <v>8.1346562878409134E-2</v>
      </c>
      <c r="GH16" s="35">
        <f t="shared" si="224"/>
        <v>1476722.8618295821</v>
      </c>
      <c r="GI16" s="129">
        <f t="shared" si="225"/>
        <v>0</v>
      </c>
      <c r="GJ16" s="159">
        <f t="shared" si="228"/>
        <v>743281.75222766644</v>
      </c>
      <c r="GK16" s="101">
        <f t="shared" si="226"/>
        <v>2004736.732650111</v>
      </c>
      <c r="GL16" s="88">
        <f t="shared" si="227"/>
        <v>0.38203448185424316</v>
      </c>
    </row>
    <row r="17" spans="1:195" s="26" customFormat="1" ht="32.25" thickBot="1" x14ac:dyDescent="0.25">
      <c r="A17" s="176" t="s">
        <v>181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1078</v>
      </c>
      <c r="H17" s="32">
        <f>'Исходные данные'!D19</f>
        <v>823373</v>
      </c>
      <c r="I17" s="33">
        <f>'Расчет КРП'!G15</f>
        <v>5.9934928490454169</v>
      </c>
      <c r="J17" s="117" t="s">
        <v>8</v>
      </c>
      <c r="K17" s="121">
        <f t="shared" si="104"/>
        <v>0.12975981574882692</v>
      </c>
      <c r="L17" s="79">
        <f t="shared" si="105"/>
        <v>1155351.2904803697</v>
      </c>
      <c r="M17" s="75">
        <f t="shared" si="106"/>
        <v>0.31183789042203358</v>
      </c>
      <c r="N17" s="31" t="s">
        <v>8</v>
      </c>
      <c r="O17" s="34">
        <f t="shared" si="107"/>
        <v>0.10097745226303279</v>
      </c>
      <c r="P17" s="35">
        <f t="shared" si="108"/>
        <v>1339965.9109832516</v>
      </c>
      <c r="Q17" s="82">
        <f t="shared" si="109"/>
        <v>486146.34020796994</v>
      </c>
      <c r="R17" s="152" t="s">
        <v>8</v>
      </c>
      <c r="S17" s="31" t="s">
        <v>8</v>
      </c>
      <c r="T17" s="36">
        <f t="shared" si="110"/>
        <v>0.3884523282677641</v>
      </c>
      <c r="U17" s="34">
        <f t="shared" si="111"/>
        <v>7.492871646488819E-2</v>
      </c>
      <c r="V17" s="55">
        <f t="shared" si="112"/>
        <v>1124013.1004787921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0.3884523282677641</v>
      </c>
      <c r="AA17" s="34">
        <f t="shared" si="115"/>
        <v>7.492871646488819E-2</v>
      </c>
      <c r="AB17" s="55">
        <f t="shared" si="116"/>
        <v>1124013.1004787921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0.3884523282677641</v>
      </c>
      <c r="AG17" s="34">
        <f t="shared" si="119"/>
        <v>7.492871646488819E-2</v>
      </c>
      <c r="AH17" s="55">
        <f t="shared" si="120"/>
        <v>1124013.1004787921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0.3884523282677641</v>
      </c>
      <c r="AM17" s="34">
        <f t="shared" si="123"/>
        <v>7.492871646488819E-2</v>
      </c>
      <c r="AN17" s="55">
        <f t="shared" si="124"/>
        <v>1124013.1004787921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0.3884523282677641</v>
      </c>
      <c r="AS17" s="34">
        <f t="shared" si="127"/>
        <v>7.492871646488819E-2</v>
      </c>
      <c r="AT17" s="55">
        <f t="shared" si="128"/>
        <v>1124013.1004787921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0.3884523282677641</v>
      </c>
      <c r="AY17" s="34">
        <f t="shared" si="131"/>
        <v>7.492871646488819E-2</v>
      </c>
      <c r="AZ17" s="55">
        <f t="shared" si="132"/>
        <v>1124013.1004787921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0.3884523282677641</v>
      </c>
      <c r="BE17" s="34">
        <f t="shared" si="135"/>
        <v>7.492871646488819E-2</v>
      </c>
      <c r="BF17" s="55">
        <f t="shared" si="136"/>
        <v>1124013.1004787921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0.3884523282677641</v>
      </c>
      <c r="BK17" s="34">
        <f t="shared" si="139"/>
        <v>7.492871646488819E-2</v>
      </c>
      <c r="BL17" s="55">
        <f t="shared" si="140"/>
        <v>1124013.1004787921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0.3884523282677641</v>
      </c>
      <c r="BQ17" s="34">
        <f t="shared" si="143"/>
        <v>7.492871646488819E-2</v>
      </c>
      <c r="BR17" s="55">
        <f t="shared" si="144"/>
        <v>1124013.1004787921</v>
      </c>
      <c r="BS17" s="129">
        <f t="shared" si="145"/>
        <v>0</v>
      </c>
      <c r="BT17" s="78" t="s">
        <v>8</v>
      </c>
      <c r="BU17" s="31" t="s">
        <v>8</v>
      </c>
      <c r="BV17" s="36">
        <f t="shared" si="146"/>
        <v>0.3884523282677641</v>
      </c>
      <c r="BW17" s="34">
        <f t="shared" si="147"/>
        <v>7.492871646488819E-2</v>
      </c>
      <c r="BX17" s="55">
        <f t="shared" si="148"/>
        <v>1124013.1004787921</v>
      </c>
      <c r="BY17" s="129">
        <f t="shared" si="149"/>
        <v>0</v>
      </c>
      <c r="BZ17" s="78" t="s">
        <v>8</v>
      </c>
      <c r="CA17" s="31" t="s">
        <v>8</v>
      </c>
      <c r="CB17" s="36">
        <f t="shared" si="150"/>
        <v>0.3884523282677641</v>
      </c>
      <c r="CC17" s="34">
        <f t="shared" si="151"/>
        <v>7.492871646488819E-2</v>
      </c>
      <c r="CD17" s="55">
        <f t="shared" si="152"/>
        <v>1124013.1004787921</v>
      </c>
      <c r="CE17" s="129">
        <f t="shared" si="153"/>
        <v>0</v>
      </c>
      <c r="CF17" s="78" t="s">
        <v>8</v>
      </c>
      <c r="CG17" s="31" t="s">
        <v>8</v>
      </c>
      <c r="CH17" s="36">
        <f t="shared" si="154"/>
        <v>0.3884523282677641</v>
      </c>
      <c r="CI17" s="34">
        <f t="shared" si="155"/>
        <v>7.492871646488819E-2</v>
      </c>
      <c r="CJ17" s="55">
        <f t="shared" si="156"/>
        <v>1124013.1004787921</v>
      </c>
      <c r="CK17" s="129">
        <f t="shared" si="157"/>
        <v>0</v>
      </c>
      <c r="CL17" s="78" t="s">
        <v>8</v>
      </c>
      <c r="CM17" s="31" t="s">
        <v>8</v>
      </c>
      <c r="CN17" s="36">
        <f t="shared" si="158"/>
        <v>0.3884523282677641</v>
      </c>
      <c r="CO17" s="34">
        <f t="shared" si="159"/>
        <v>7.492871646488819E-2</v>
      </c>
      <c r="CP17" s="55">
        <f t="shared" si="160"/>
        <v>1124013.1004787921</v>
      </c>
      <c r="CQ17" s="129">
        <f t="shared" si="161"/>
        <v>0</v>
      </c>
      <c r="CR17" s="78" t="s">
        <v>8</v>
      </c>
      <c r="CS17" s="31" t="s">
        <v>8</v>
      </c>
      <c r="CT17" s="36">
        <f t="shared" si="162"/>
        <v>0.3884523282677641</v>
      </c>
      <c r="CU17" s="34">
        <f t="shared" si="163"/>
        <v>7.492871646488819E-2</v>
      </c>
      <c r="CV17" s="55">
        <f t="shared" si="164"/>
        <v>1124013.1004787921</v>
      </c>
      <c r="CW17" s="129">
        <f t="shared" si="165"/>
        <v>0</v>
      </c>
      <c r="CX17" s="78" t="s">
        <v>8</v>
      </c>
      <c r="CY17" s="31" t="s">
        <v>8</v>
      </c>
      <c r="CZ17" s="36">
        <f t="shared" si="166"/>
        <v>0.3884523282677641</v>
      </c>
      <c r="DA17" s="34">
        <f t="shared" si="167"/>
        <v>7.492871646488819E-2</v>
      </c>
      <c r="DB17" s="55">
        <f t="shared" si="168"/>
        <v>1124013.1004787921</v>
      </c>
      <c r="DC17" s="129">
        <f t="shared" si="169"/>
        <v>0</v>
      </c>
      <c r="DD17" s="78" t="s">
        <v>8</v>
      </c>
      <c r="DE17" s="31" t="s">
        <v>8</v>
      </c>
      <c r="DF17" s="36">
        <f t="shared" si="170"/>
        <v>0.3884523282677641</v>
      </c>
      <c r="DG17" s="34">
        <f t="shared" si="171"/>
        <v>7.492871646488819E-2</v>
      </c>
      <c r="DH17" s="55">
        <f t="shared" si="172"/>
        <v>1124013.1004787921</v>
      </c>
      <c r="DI17" s="129">
        <f t="shared" si="173"/>
        <v>0</v>
      </c>
      <c r="DJ17" s="78" t="s">
        <v>8</v>
      </c>
      <c r="DK17" s="31" t="s">
        <v>8</v>
      </c>
      <c r="DL17" s="36">
        <f t="shared" si="174"/>
        <v>0.3884523282677641</v>
      </c>
      <c r="DM17" s="34">
        <f t="shared" si="175"/>
        <v>7.492871646488819E-2</v>
      </c>
      <c r="DN17" s="55">
        <f t="shared" si="176"/>
        <v>1124013.1004787921</v>
      </c>
      <c r="DO17" s="129">
        <f t="shared" si="177"/>
        <v>0</v>
      </c>
      <c r="DP17" s="78" t="s">
        <v>8</v>
      </c>
      <c r="DQ17" s="31" t="s">
        <v>8</v>
      </c>
      <c r="DR17" s="36">
        <f t="shared" si="178"/>
        <v>0.3884523282677641</v>
      </c>
      <c r="DS17" s="34">
        <f t="shared" si="179"/>
        <v>7.492871646488819E-2</v>
      </c>
      <c r="DT17" s="55">
        <f t="shared" si="180"/>
        <v>1124013.1004787921</v>
      </c>
      <c r="DU17" s="129">
        <f t="shared" si="181"/>
        <v>0</v>
      </c>
      <c r="DV17" s="78" t="s">
        <v>8</v>
      </c>
      <c r="DW17" s="31" t="s">
        <v>8</v>
      </c>
      <c r="DX17" s="36">
        <f t="shared" si="182"/>
        <v>0.3884523282677641</v>
      </c>
      <c r="DY17" s="34">
        <f t="shared" si="183"/>
        <v>7.492871646488819E-2</v>
      </c>
      <c r="DZ17" s="35">
        <f t="shared" si="184"/>
        <v>1124013.1004787921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0.3884523282677641</v>
      </c>
      <c r="EE17" s="34">
        <f t="shared" si="187"/>
        <v>7.492871646488819E-2</v>
      </c>
      <c r="EF17" s="35">
        <f t="shared" si="188"/>
        <v>1124013.1004787921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0.3884523282677641</v>
      </c>
      <c r="EK17" s="34">
        <f t="shared" si="191"/>
        <v>7.492871646488819E-2</v>
      </c>
      <c r="EL17" s="35">
        <f t="shared" si="192"/>
        <v>1124013.1004787921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0.3884523282677641</v>
      </c>
      <c r="EQ17" s="34">
        <f t="shared" si="195"/>
        <v>7.492871646488819E-2</v>
      </c>
      <c r="ER17" s="35">
        <f t="shared" si="196"/>
        <v>1124013.1004787921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0.3884523282677641</v>
      </c>
      <c r="EW17" s="34">
        <f t="shared" si="199"/>
        <v>7.492871646488819E-2</v>
      </c>
      <c r="EX17" s="35">
        <f t="shared" si="200"/>
        <v>1124013.1004787921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0.3884523282677641</v>
      </c>
      <c r="FC17" s="34">
        <f t="shared" si="203"/>
        <v>7.492871646488819E-2</v>
      </c>
      <c r="FD17" s="35">
        <f t="shared" si="204"/>
        <v>1124013.1004787921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0.3884523282677641</v>
      </c>
      <c r="FI17" s="34">
        <f t="shared" si="207"/>
        <v>7.492871646488819E-2</v>
      </c>
      <c r="FJ17" s="35">
        <f t="shared" si="208"/>
        <v>1124013.1004787921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0.3884523282677641</v>
      </c>
      <c r="FO17" s="34">
        <f t="shared" si="211"/>
        <v>7.492871646488819E-2</v>
      </c>
      <c r="FP17" s="35">
        <f t="shared" si="212"/>
        <v>1124013.1004787921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0.3884523282677641</v>
      </c>
      <c r="FU17" s="34">
        <f t="shared" si="215"/>
        <v>7.492871646488819E-2</v>
      </c>
      <c r="FV17" s="35">
        <f t="shared" si="216"/>
        <v>1124013.1004787921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0.3884523282677641</v>
      </c>
      <c r="GA17" s="34">
        <f t="shared" si="219"/>
        <v>7.492871646488819E-2</v>
      </c>
      <c r="GB17" s="35">
        <f t="shared" si="220"/>
        <v>1124013.1004787921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0.3884523282677641</v>
      </c>
      <c r="GG17" s="34">
        <f t="shared" si="223"/>
        <v>7.492871646488819E-2</v>
      </c>
      <c r="GH17" s="35">
        <f t="shared" si="224"/>
        <v>1124013.1004787921</v>
      </c>
      <c r="GI17" s="129">
        <f t="shared" si="225"/>
        <v>0</v>
      </c>
      <c r="GJ17" s="159">
        <f t="shared" si="228"/>
        <v>486146.34020796994</v>
      </c>
      <c r="GK17" s="101">
        <f t="shared" si="226"/>
        <v>1641497.6306883397</v>
      </c>
      <c r="GL17" s="88">
        <f t="shared" si="227"/>
        <v>0.3884523282677641</v>
      </c>
    </row>
    <row r="18" spans="1:195" s="30" customFormat="1" ht="16.5" thickBot="1" x14ac:dyDescent="0.3">
      <c r="A18" s="105" t="s">
        <v>6</v>
      </c>
      <c r="B18" s="126">
        <v>22896694</v>
      </c>
      <c r="C18" s="123">
        <v>80</v>
      </c>
      <c r="D18" s="83">
        <f>B18*C18/100</f>
        <v>18317355.199999999</v>
      </c>
      <c r="E18" s="112">
        <f>100-C18</f>
        <v>20</v>
      </c>
      <c r="F18" s="83">
        <f>B18-D18</f>
        <v>4579338.8000000007</v>
      </c>
      <c r="G18" s="111">
        <f>SUM(G9:G17)</f>
        <v>17091</v>
      </c>
      <c r="H18" s="111">
        <f>SUM(H9:H17)</f>
        <v>16785146</v>
      </c>
      <c r="I18" s="47" t="s">
        <v>8</v>
      </c>
      <c r="J18" s="166">
        <f>H18/G18</f>
        <v>982.10438242349778</v>
      </c>
      <c r="K18" s="122" t="s">
        <v>8</v>
      </c>
      <c r="L18" s="80">
        <f>SUM(L9:L17)</f>
        <v>18317355.199999996</v>
      </c>
      <c r="M18" s="76" t="s">
        <v>8</v>
      </c>
      <c r="N18" s="48">
        <f>(SUMIF(M9:M17,"&lt;1")+1)/(COUNTIFS(M9:M17,"&lt;1")+1)</f>
        <v>0.41281534268506637</v>
      </c>
      <c r="O18" s="49" t="s">
        <v>8</v>
      </c>
      <c r="P18" s="46">
        <f>SUM(P9:P17)</f>
        <v>12622038.631861234</v>
      </c>
      <c r="Q18" s="46">
        <f>SUM(Q9:Q17)</f>
        <v>4579338.8000000017</v>
      </c>
      <c r="R18" s="89">
        <f>F18-Q18</f>
        <v>0</v>
      </c>
      <c r="S18" s="48">
        <f>(SUMIF(T9:T17,"&lt;1")+1)/(COUNTIFS(T9:T17,"&lt;1")+1)</f>
        <v>0.46338104473265229</v>
      </c>
      <c r="T18" s="49" t="s">
        <v>8</v>
      </c>
      <c r="U18" s="49" t="s">
        <v>8</v>
      </c>
      <c r="V18" s="46">
        <f>SUM(V9:V17)</f>
        <v>11520845.628810167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0.46338104473265229</v>
      </c>
      <c r="Z18" s="49" t="s">
        <v>8</v>
      </c>
      <c r="AA18" s="49" t="s">
        <v>8</v>
      </c>
      <c r="AB18" s="46">
        <f>SUM(AB9:AB17)</f>
        <v>11520845.628810167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0.46338104473265229</v>
      </c>
      <c r="AF18" s="49" t="s">
        <v>8</v>
      </c>
      <c r="AG18" s="49" t="s">
        <v>8</v>
      </c>
      <c r="AH18" s="46">
        <f>SUM(AH9:AH17)</f>
        <v>11520845.628810167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0.46338104473265229</v>
      </c>
      <c r="AL18" s="49" t="s">
        <v>8</v>
      </c>
      <c r="AM18" s="49" t="s">
        <v>8</v>
      </c>
      <c r="AN18" s="46">
        <f>SUM(AN9:AN17)</f>
        <v>11520845.628810167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0.46338104473265229</v>
      </c>
      <c r="AR18" s="49" t="s">
        <v>8</v>
      </c>
      <c r="AS18" s="49" t="s">
        <v>8</v>
      </c>
      <c r="AT18" s="46">
        <f>SUM(AT9:AT17)</f>
        <v>11520845.628810167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0.46338104473265229</v>
      </c>
      <c r="AX18" s="49" t="s">
        <v>8</v>
      </c>
      <c r="AY18" s="49" t="s">
        <v>8</v>
      </c>
      <c r="AZ18" s="46">
        <f>SUM(AZ9:AZ17)</f>
        <v>11520845.628810167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0.46338104473265229</v>
      </c>
      <c r="BD18" s="49" t="s">
        <v>8</v>
      </c>
      <c r="BE18" s="49" t="s">
        <v>8</v>
      </c>
      <c r="BF18" s="46">
        <f>SUM(BF9:BF17)</f>
        <v>11520845.628810167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0.46338104473265229</v>
      </c>
      <c r="BJ18" s="49" t="s">
        <v>8</v>
      </c>
      <c r="BK18" s="49" t="s">
        <v>8</v>
      </c>
      <c r="BL18" s="46">
        <f>SUM(BL9:BL17)</f>
        <v>11520845.628810167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0.46338104473265229</v>
      </c>
      <c r="BP18" s="49" t="s">
        <v>8</v>
      </c>
      <c r="BQ18" s="49" t="s">
        <v>8</v>
      </c>
      <c r="BR18" s="46">
        <f>SUM(BR9:BR17)</f>
        <v>11520845.628810167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0.46338104473265229</v>
      </c>
      <c r="BV18" s="49" t="s">
        <v>8</v>
      </c>
      <c r="BW18" s="49" t="s">
        <v>8</v>
      </c>
      <c r="BX18" s="46">
        <f>SUM(BX9:BX17)</f>
        <v>11520845.628810167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0.46338104473265229</v>
      </c>
      <c r="CB18" s="49" t="s">
        <v>8</v>
      </c>
      <c r="CC18" s="49" t="s">
        <v>8</v>
      </c>
      <c r="CD18" s="46">
        <f>SUM(CD9:CD17)</f>
        <v>11520845.628810167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0.46338104473265229</v>
      </c>
      <c r="CH18" s="49" t="s">
        <v>8</v>
      </c>
      <c r="CI18" s="49" t="s">
        <v>8</v>
      </c>
      <c r="CJ18" s="46">
        <f>SUM(CJ9:CJ17)</f>
        <v>11520845.628810167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0.46338104473265229</v>
      </c>
      <c r="CN18" s="49" t="s">
        <v>8</v>
      </c>
      <c r="CO18" s="49" t="s">
        <v>8</v>
      </c>
      <c r="CP18" s="46">
        <f>SUM(CP9:CP17)</f>
        <v>11520845.628810167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0.46338104473265229</v>
      </c>
      <c r="CT18" s="49" t="s">
        <v>8</v>
      </c>
      <c r="CU18" s="49" t="s">
        <v>8</v>
      </c>
      <c r="CV18" s="46">
        <f>SUM(CV9:CV17)</f>
        <v>11520845.628810167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0.46338104473265229</v>
      </c>
      <c r="CZ18" s="49" t="s">
        <v>8</v>
      </c>
      <c r="DA18" s="49" t="s">
        <v>8</v>
      </c>
      <c r="DB18" s="46">
        <f>SUM(DB9:DB17)</f>
        <v>11520845.628810167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0.46338104473265229</v>
      </c>
      <c r="DF18" s="49" t="s">
        <v>8</v>
      </c>
      <c r="DG18" s="49" t="s">
        <v>8</v>
      </c>
      <c r="DH18" s="46">
        <f>SUM(DH9:DH17)</f>
        <v>11520845.628810167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0.46338104473265229</v>
      </c>
      <c r="DL18" s="49" t="s">
        <v>8</v>
      </c>
      <c r="DM18" s="49" t="s">
        <v>8</v>
      </c>
      <c r="DN18" s="46">
        <f>SUM(DN9:DN17)</f>
        <v>11520845.628810167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0.46338104473265229</v>
      </c>
      <c r="DR18" s="49" t="s">
        <v>8</v>
      </c>
      <c r="DS18" s="49" t="s">
        <v>8</v>
      </c>
      <c r="DT18" s="46">
        <f>SUM(DT9:DT17)</f>
        <v>11520845.628810167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0.46338104473265229</v>
      </c>
      <c r="DX18" s="49" t="s">
        <v>8</v>
      </c>
      <c r="DY18" s="49" t="s">
        <v>8</v>
      </c>
      <c r="DZ18" s="146">
        <f>SUM(DZ9:DZ17)</f>
        <v>11520845.628810167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0.46338104473265229</v>
      </c>
      <c r="ED18" s="49" t="s">
        <v>8</v>
      </c>
      <c r="EE18" s="49" t="s">
        <v>8</v>
      </c>
      <c r="EF18" s="146">
        <f>SUM(EF9:EF17)</f>
        <v>11520845.628810167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0.46338104473265229</v>
      </c>
      <c r="EJ18" s="49" t="s">
        <v>8</v>
      </c>
      <c r="EK18" s="49" t="s">
        <v>8</v>
      </c>
      <c r="EL18" s="146">
        <f>SUM(EL9:EL17)</f>
        <v>11520845.628810167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0.46338104473265229</v>
      </c>
      <c r="EP18" s="49" t="s">
        <v>8</v>
      </c>
      <c r="EQ18" s="49" t="s">
        <v>8</v>
      </c>
      <c r="ER18" s="146">
        <f>SUM(ER9:ER17)</f>
        <v>11520845.628810167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0.46338104473265229</v>
      </c>
      <c r="EV18" s="49" t="s">
        <v>8</v>
      </c>
      <c r="EW18" s="49" t="s">
        <v>8</v>
      </c>
      <c r="EX18" s="146">
        <f>SUM(EX9:EX17)</f>
        <v>11520845.628810167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0.46338104473265229</v>
      </c>
      <c r="FB18" s="49" t="s">
        <v>8</v>
      </c>
      <c r="FC18" s="49" t="s">
        <v>8</v>
      </c>
      <c r="FD18" s="146">
        <f>SUM(FD9:FD17)</f>
        <v>11520845.628810167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0.46338104473265229</v>
      </c>
      <c r="FH18" s="49" t="s">
        <v>8</v>
      </c>
      <c r="FI18" s="49" t="s">
        <v>8</v>
      </c>
      <c r="FJ18" s="146">
        <f>SUM(FJ9:FJ17)</f>
        <v>11520845.628810167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0.46338104473265229</v>
      </c>
      <c r="FN18" s="49" t="s">
        <v>8</v>
      </c>
      <c r="FO18" s="49" t="s">
        <v>8</v>
      </c>
      <c r="FP18" s="146">
        <f>SUM(FP9:FP17)</f>
        <v>11520845.628810167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0.46338104473265229</v>
      </c>
      <c r="FT18" s="49" t="s">
        <v>8</v>
      </c>
      <c r="FU18" s="49" t="s">
        <v>8</v>
      </c>
      <c r="FV18" s="146">
        <f>SUM(FV9:FV17)</f>
        <v>11520845.628810167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0.46338104473265229</v>
      </c>
      <c r="FZ18" s="49" t="s">
        <v>8</v>
      </c>
      <c r="GA18" s="49" t="s">
        <v>8</v>
      </c>
      <c r="GB18" s="146">
        <f>SUM(GB9:GB17)</f>
        <v>11520845.628810167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0.46338104473265229</v>
      </c>
      <c r="GF18" s="49" t="s">
        <v>8</v>
      </c>
      <c r="GG18" s="49" t="s">
        <v>8</v>
      </c>
      <c r="GH18" s="146">
        <f>SUM(GH9:GH17)</f>
        <v>11520845.628810167</v>
      </c>
      <c r="GI18" s="46">
        <f>SUM(GI9:GI17)</f>
        <v>0</v>
      </c>
      <c r="GJ18" s="172">
        <f>SUM(GJ9:GJ17)</f>
        <v>4579338.8000000017</v>
      </c>
      <c r="GK18" s="174">
        <f t="shared" si="226"/>
        <v>22896693.999999996</v>
      </c>
      <c r="GL18" s="175" t="s">
        <v>8</v>
      </c>
      <c r="GM18" s="26"/>
    </row>
    <row r="20" spans="1:195" x14ac:dyDescent="0.2">
      <c r="P20" s="25"/>
    </row>
    <row r="22" spans="1:195" x14ac:dyDescent="0.2">
      <c r="GJ22" s="130"/>
      <c r="GK22" s="130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2022-10-10T02:51:34Z</cp:lastPrinted>
  <dcterms:created xsi:type="dcterms:W3CDTF">2013-11-15T09:40:24Z</dcterms:created>
  <dcterms:modified xsi:type="dcterms:W3CDTF">2022-10-10T03:11:47Z</dcterms:modified>
</cp:coreProperties>
</file>